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drawings/drawing11.xml" ContentType="application/vnd.openxmlformats-officedocument.drawing+xml"/>
  <Override PartName="/xl/comments13.xml" ContentType="application/vnd.openxmlformats-officedocument.spreadsheetml.comments+xml"/>
  <Override PartName="/xl/drawings/drawing12.xml" ContentType="application/vnd.openxmlformats-officedocument.drawing+xml"/>
  <Override PartName="/xl/comments14.xml" ContentType="application/vnd.openxmlformats-officedocument.spreadsheetml.comments+xml"/>
  <Override PartName="/xl/drawings/drawing13.xml" ContentType="application/vnd.openxmlformats-officedocument.drawing+xml"/>
  <Override PartName="/xl/comments15.xml" ContentType="application/vnd.openxmlformats-officedocument.spreadsheetml.comments+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defaultThemeVersion="124226"/>
  <mc:AlternateContent xmlns:mc="http://schemas.openxmlformats.org/markup-compatibility/2006">
    <mc:Choice Requires="x15">
      <x15ac:absPath xmlns:x15ac="http://schemas.microsoft.com/office/spreadsheetml/2010/11/ac" url="Z:\PRICING\DoingBusinessWithLCBO\"/>
    </mc:Choice>
  </mc:AlternateContent>
  <xr:revisionPtr revIDLastSave="0" documentId="13_ncr:1_{DAB5089E-6257-4A2C-841B-6FA4F0199D61}" xr6:coauthVersionLast="47" xr6:coauthVersionMax="47" xr10:uidLastSave="{00000000-0000-0000-0000-000000000000}"/>
  <bookViews>
    <workbookView xWindow="-110" yWindow="-110" windowWidth="19420" windowHeight="10300" tabRatio="976" firstSheet="2" activeTab="2" xr2:uid="{00000000-000D-0000-FFFF-FFFF00000000}"/>
  </bookViews>
  <sheets>
    <sheet name="OpenWorkSheet" sheetId="28" state="hidden" r:id="rId1"/>
    <sheet name="Rates" sheetId="7" state="hidden" r:id="rId2"/>
    <sheet name="Wine" sheetId="1" r:id="rId3"/>
    <sheet name="Spirits" sheetId="8" r:id="rId4"/>
    <sheet name="Cooler RTD Cider" sheetId="14" r:id="rId5"/>
    <sheet name="BeerImport" sheetId="19" r:id="rId6"/>
    <sheet name="BeerOntario" sheetId="20" r:id="rId7"/>
    <sheet name="BeerImportedFlavour" sheetId="21" r:id="rId8"/>
    <sheet name="GiftPack_Wine" sheetId="10" r:id="rId9"/>
    <sheet name="GiftPack_Spirit" sheetId="12" r:id="rId10"/>
    <sheet name="GiftPack_Cooler RTD Cider" sheetId="18" r:id="rId11"/>
    <sheet name="GiftPack_BeerImport" sheetId="24" r:id="rId12"/>
    <sheet name="GiftPack_BeerOntario" sheetId="23" r:id="rId13"/>
    <sheet name="KEGFlavouredBeer" sheetId="31" r:id="rId14"/>
    <sheet name="KEGBeerImport" sheetId="29" r:id="rId15"/>
    <sheet name="KEGCider" sheetId="30" r:id="rId16"/>
    <sheet name="Contact Info" sheetId="27" r:id="rId17"/>
  </sheets>
  <definedNames>
    <definedName name="_xlnm._FilterDatabase" localSheetId="1" hidden="1">Rates!$F$135:$J$365</definedName>
    <definedName name="_xlnm.Print_Area" localSheetId="6">BeerOntario!$A$1:$P$29</definedName>
    <definedName name="_xlnm.Print_Area" localSheetId="8">GiftPack_Wine!$B$1:$O$47</definedName>
    <definedName name="_xlnm.Print_Area" localSheetId="2">Wine!$B$1:$P$36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4" l="1"/>
  <c r="C16" i="8"/>
  <c r="I377" i="7"/>
  <c r="I378" i="7"/>
  <c r="I373" i="7"/>
  <c r="I374" i="7"/>
  <c r="I375" i="7"/>
  <c r="I376" i="7"/>
  <c r="I372" i="7"/>
  <c r="J387" i="7"/>
  <c r="J382" i="7"/>
  <c r="J381" i="7"/>
  <c r="J380" i="7"/>
  <c r="J379" i="7"/>
  <c r="J399" i="7"/>
  <c r="J375" i="7"/>
  <c r="J370" i="7"/>
  <c r="J369" i="7"/>
  <c r="J394" i="7"/>
  <c r="J393" i="7"/>
  <c r="J392" i="7"/>
  <c r="J391" i="7"/>
  <c r="J368" i="7"/>
  <c r="J367" i="7"/>
  <c r="C23" i="10"/>
  <c r="C21" i="10"/>
  <c r="I368" i="7"/>
  <c r="I369" i="7"/>
  <c r="I370" i="7"/>
  <c r="I371" i="7"/>
  <c r="I367" i="7"/>
  <c r="C16" i="1" l="1"/>
  <c r="C18" i="12"/>
  <c r="J269" i="7"/>
  <c r="C18" i="10"/>
  <c r="H16" i="7"/>
  <c r="F21" i="7"/>
  <c r="H15" i="7"/>
  <c r="F18" i="7"/>
  <c r="C20" i="30"/>
  <c r="C21" i="1"/>
  <c r="H26" i="20"/>
  <c r="F19" i="7" l="1"/>
  <c r="C22" i="23"/>
  <c r="C22" i="24"/>
  <c r="Q28" i="24" s="1"/>
  <c r="C25" i="21"/>
  <c r="H36" i="21" s="1"/>
  <c r="C23" i="20"/>
  <c r="C20" i="19"/>
  <c r="H36" i="19" s="1"/>
  <c r="H36" i="20" l="1"/>
  <c r="K12" i="20"/>
  <c r="H6" i="14"/>
  <c r="H27" i="20"/>
  <c r="C24" i="24"/>
  <c r="C25" i="24"/>
  <c r="C25" i="31"/>
  <c r="H7" i="31" s="1"/>
  <c r="C18" i="30"/>
  <c r="C24" i="31"/>
  <c r="H6" i="31" s="1"/>
  <c r="C23" i="31"/>
  <c r="C22" i="31"/>
  <c r="H25" i="31" s="1"/>
  <c r="C21" i="31"/>
  <c r="H18" i="31" s="1"/>
  <c r="C20" i="31"/>
  <c r="H17" i="31" s="1"/>
  <c r="C19" i="31"/>
  <c r="H12" i="31" s="1"/>
  <c r="C18" i="31"/>
  <c r="H11" i="31" s="1"/>
  <c r="H16" i="31"/>
  <c r="C17" i="31"/>
  <c r="H8" i="31"/>
  <c r="H5" i="31"/>
  <c r="C17" i="30"/>
  <c r="H9" i="31" l="1"/>
  <c r="H13" i="31" s="1"/>
  <c r="H15" i="31" s="1"/>
  <c r="H19" i="31" s="1"/>
  <c r="H20" i="31" s="1"/>
  <c r="H21" i="31" s="1"/>
  <c r="H24" i="31" s="1"/>
  <c r="D15" i="31" l="1"/>
  <c r="H26" i="31"/>
  <c r="C15" i="31" s="1"/>
  <c r="H23" i="31"/>
  <c r="H22" i="31" s="1"/>
  <c r="E15" i="31" l="1"/>
  <c r="C24" i="30" l="1"/>
  <c r="H17" i="30"/>
  <c r="H14" i="30"/>
  <c r="H6" i="30" l="1"/>
  <c r="C21" i="29"/>
  <c r="H25" i="29" s="1"/>
  <c r="C25" i="30"/>
  <c r="H24" i="30"/>
  <c r="C23" i="30"/>
  <c r="C22" i="30"/>
  <c r="C21" i="30"/>
  <c r="H15" i="30" s="1"/>
  <c r="H8" i="30"/>
  <c r="H5" i="30"/>
  <c r="H7" i="30" s="1"/>
  <c r="H9" i="30" l="1"/>
  <c r="H10" i="30" l="1"/>
  <c r="H11" i="30" s="1"/>
  <c r="H13" i="30" s="1"/>
  <c r="H18" i="30" s="1"/>
  <c r="H19" i="30" s="1"/>
  <c r="H20" i="30" l="1"/>
  <c r="D15" i="30" s="1"/>
  <c r="C36" i="30" l="1"/>
  <c r="C35" i="30" s="1"/>
  <c r="C34" i="30" s="1"/>
  <c r="C38" i="30" s="1"/>
  <c r="D20" i="30" l="1"/>
  <c r="E20" i="30" s="1"/>
  <c r="H23" i="30"/>
  <c r="H22" i="30" l="1"/>
  <c r="H21" i="30" s="1"/>
  <c r="H25" i="30"/>
  <c r="C15" i="30" s="1"/>
  <c r="E15" i="30" s="1"/>
  <c r="H16" i="29"/>
  <c r="C18" i="29"/>
  <c r="H12" i="29" s="1"/>
  <c r="C17" i="29"/>
  <c r="H11" i="29" s="1"/>
  <c r="C24" i="29"/>
  <c r="H7" i="29" s="1"/>
  <c r="C23" i="29"/>
  <c r="H6" i="29" s="1"/>
  <c r="C22" i="29"/>
  <c r="C20" i="29"/>
  <c r="H18" i="29" s="1"/>
  <c r="C19" i="29"/>
  <c r="H17" i="29" s="1"/>
  <c r="C16" i="29"/>
  <c r="H8" i="29"/>
  <c r="H5" i="29"/>
  <c r="C30" i="30" l="1"/>
  <c r="C31" i="30"/>
  <c r="C32" i="30" s="1"/>
  <c r="H9" i="29"/>
  <c r="H13" i="29" s="1"/>
  <c r="H15" i="29" s="1"/>
  <c r="H19" i="29" s="1"/>
  <c r="H20" i="29" s="1"/>
  <c r="H21" i="29" s="1"/>
  <c r="D14" i="29" l="1"/>
  <c r="H24" i="29"/>
  <c r="H23" i="29" l="1"/>
  <c r="H22" i="29" s="1"/>
  <c r="H26" i="29"/>
  <c r="C14" i="29" s="1"/>
  <c r="E14" i="29" s="1"/>
  <c r="C22" i="19" l="1"/>
  <c r="G26" i="10" l="1"/>
  <c r="N7" i="12" l="1"/>
  <c r="H5" i="1"/>
  <c r="H6" i="20"/>
  <c r="H7" i="20"/>
  <c r="H32" i="20" s="1"/>
  <c r="I450" i="7" l="1"/>
  <c r="I449" i="7"/>
  <c r="I438" i="7"/>
  <c r="I437" i="7"/>
  <c r="I426" i="7"/>
  <c r="I425" i="7"/>
  <c r="I414" i="7"/>
  <c r="I413" i="7"/>
  <c r="I402" i="7"/>
  <c r="I401" i="7"/>
  <c r="I390" i="7"/>
  <c r="I389" i="7"/>
  <c r="I345" i="7"/>
  <c r="I344" i="7"/>
  <c r="I333" i="7"/>
  <c r="I332" i="7"/>
  <c r="I321" i="7"/>
  <c r="I320" i="7"/>
  <c r="I309" i="7"/>
  <c r="I308" i="7"/>
  <c r="J295" i="7"/>
  <c r="J277" i="7"/>
  <c r="J271" i="7"/>
  <c r="J259" i="7"/>
  <c r="C19" i="8" l="1"/>
  <c r="I448" i="7"/>
  <c r="I447" i="7"/>
  <c r="I446" i="7"/>
  <c r="I445" i="7"/>
  <c r="I444" i="7"/>
  <c r="I443" i="7"/>
  <c r="I442" i="7"/>
  <c r="I441" i="7"/>
  <c r="I440" i="7"/>
  <c r="I439" i="7"/>
  <c r="I436" i="7"/>
  <c r="I435" i="7"/>
  <c r="I434" i="7"/>
  <c r="I433" i="7"/>
  <c r="I432" i="7"/>
  <c r="I431" i="7"/>
  <c r="I430" i="7"/>
  <c r="I429" i="7"/>
  <c r="I428" i="7"/>
  <c r="I427" i="7"/>
  <c r="I424" i="7"/>
  <c r="I423" i="7"/>
  <c r="I422" i="7"/>
  <c r="I421" i="7"/>
  <c r="I420" i="7"/>
  <c r="I419" i="7"/>
  <c r="I418" i="7"/>
  <c r="I417" i="7"/>
  <c r="I416" i="7"/>
  <c r="I415" i="7"/>
  <c r="I412" i="7"/>
  <c r="I411" i="7"/>
  <c r="I410" i="7"/>
  <c r="I409" i="7"/>
  <c r="I408" i="7"/>
  <c r="I407" i="7"/>
  <c r="I406" i="7"/>
  <c r="I405" i="7"/>
  <c r="I404" i="7"/>
  <c r="I403" i="7"/>
  <c r="C19" i="10" s="1"/>
  <c r="I400" i="7"/>
  <c r="I399" i="7"/>
  <c r="I398" i="7"/>
  <c r="I397" i="7"/>
  <c r="I396" i="7"/>
  <c r="I395" i="7"/>
  <c r="I394" i="7"/>
  <c r="I393" i="7"/>
  <c r="I392" i="7"/>
  <c r="I391" i="7"/>
  <c r="I388" i="7"/>
  <c r="I387" i="7"/>
  <c r="I386" i="7"/>
  <c r="I385" i="7"/>
  <c r="I384" i="7"/>
  <c r="I383" i="7"/>
  <c r="I382" i="7"/>
  <c r="I381" i="7"/>
  <c r="I380" i="7"/>
  <c r="I379" i="7"/>
  <c r="J201" i="7"/>
  <c r="J166" i="7"/>
  <c r="J152" i="7"/>
  <c r="J145" i="7"/>
  <c r="J138" i="7"/>
  <c r="J199" i="7"/>
  <c r="C17" i="1" s="1"/>
  <c r="J164" i="7"/>
  <c r="J150" i="7"/>
  <c r="J143" i="7"/>
  <c r="J136" i="7"/>
  <c r="G25" i="12" l="1"/>
  <c r="G25" i="18"/>
  <c r="G26" i="24"/>
  <c r="E27" i="23"/>
  <c r="L9" i="23"/>
  <c r="F9" i="23" s="1"/>
  <c r="F15" i="23"/>
  <c r="L8" i="23"/>
  <c r="F8" i="23" s="1"/>
  <c r="C17" i="23"/>
  <c r="C19" i="23"/>
  <c r="C20" i="23"/>
  <c r="C21" i="23"/>
  <c r="C23" i="23"/>
  <c r="C25" i="23"/>
  <c r="C25" i="20"/>
  <c r="C17" i="14" l="1"/>
  <c r="C20" i="10"/>
  <c r="C20" i="12"/>
  <c r="C21" i="12"/>
  <c r="H7" i="12" l="1"/>
  <c r="I365" i="7"/>
  <c r="I364" i="7"/>
  <c r="I363" i="7"/>
  <c r="I362" i="7"/>
  <c r="I361" i="7"/>
  <c r="I360" i="7"/>
  <c r="I359" i="7"/>
  <c r="I358" i="7"/>
  <c r="I357" i="7"/>
  <c r="I356" i="7"/>
  <c r="I355" i="7"/>
  <c r="I354" i="7"/>
  <c r="I353" i="7"/>
  <c r="I352" i="7"/>
  <c r="I351" i="7"/>
  <c r="I350" i="7"/>
  <c r="I349" i="7"/>
  <c r="I348" i="7"/>
  <c r="I347" i="7"/>
  <c r="I346" i="7"/>
  <c r="I343" i="7"/>
  <c r="I342" i="7"/>
  <c r="I341" i="7"/>
  <c r="I340" i="7"/>
  <c r="I339" i="7"/>
  <c r="I338" i="7"/>
  <c r="I337" i="7"/>
  <c r="I336" i="7"/>
  <c r="I335" i="7"/>
  <c r="I334" i="7"/>
  <c r="J331" i="7"/>
  <c r="J330" i="7"/>
  <c r="J329" i="7"/>
  <c r="J327" i="7"/>
  <c r="J322" i="7"/>
  <c r="I331" i="7"/>
  <c r="I330" i="7"/>
  <c r="I329" i="7"/>
  <c r="I328" i="7"/>
  <c r="I327" i="7"/>
  <c r="I326" i="7"/>
  <c r="I325" i="7"/>
  <c r="I324" i="7"/>
  <c r="I323" i="7"/>
  <c r="I322" i="7"/>
  <c r="J319" i="7"/>
  <c r="J318" i="7"/>
  <c r="J317" i="7"/>
  <c r="J315" i="7"/>
  <c r="J310" i="7"/>
  <c r="I319" i="7"/>
  <c r="I318" i="7"/>
  <c r="I317" i="7"/>
  <c r="I316" i="7"/>
  <c r="I315" i="7"/>
  <c r="I314" i="7"/>
  <c r="I313" i="7"/>
  <c r="I312" i="7"/>
  <c r="I311" i="7"/>
  <c r="I310" i="7"/>
  <c r="J298" i="7"/>
  <c r="J307" i="7"/>
  <c r="J306" i="7"/>
  <c r="J305" i="7"/>
  <c r="J303" i="7"/>
  <c r="I307" i="7"/>
  <c r="I306" i="7"/>
  <c r="I305" i="7"/>
  <c r="I304" i="7"/>
  <c r="I303" i="7"/>
  <c r="I302" i="7"/>
  <c r="I301" i="7"/>
  <c r="I300" i="7"/>
  <c r="I299" i="7"/>
  <c r="I298" i="7"/>
  <c r="C19" i="12" l="1"/>
  <c r="N6" i="12" s="1"/>
  <c r="C17" i="8"/>
  <c r="H6" i="8" s="1"/>
  <c r="C18" i="1"/>
  <c r="H7" i="1" l="1"/>
  <c r="C15" i="19"/>
  <c r="I5" i="23" l="1"/>
  <c r="I7" i="23" s="1"/>
  <c r="K5" i="24"/>
  <c r="K9" i="24" s="1"/>
  <c r="K5" i="18"/>
  <c r="K5" i="12"/>
  <c r="N5" i="24"/>
  <c r="N8" i="24"/>
  <c r="H8" i="24" s="1"/>
  <c r="N7" i="24"/>
  <c r="H7" i="24" s="1"/>
  <c r="N6" i="24"/>
  <c r="H6" i="24" s="1"/>
  <c r="C23" i="24"/>
  <c r="H24" i="24"/>
  <c r="C21" i="24"/>
  <c r="N17" i="24" s="1"/>
  <c r="H17" i="24" s="1"/>
  <c r="C20" i="24"/>
  <c r="N16" i="24" s="1"/>
  <c r="H16" i="24" s="1"/>
  <c r="C19" i="24"/>
  <c r="N12" i="24" s="1"/>
  <c r="C18" i="24"/>
  <c r="N11" i="24" s="1"/>
  <c r="H11" i="24" s="1"/>
  <c r="C17" i="24"/>
  <c r="N10" i="24" s="1"/>
  <c r="H10" i="24" s="1"/>
  <c r="F24" i="23"/>
  <c r="L6" i="23"/>
  <c r="F6" i="23" s="1"/>
  <c r="L5" i="23"/>
  <c r="C16" i="19"/>
  <c r="L14" i="23"/>
  <c r="F14" i="23" s="1"/>
  <c r="L13" i="23"/>
  <c r="F13" i="23" s="1"/>
  <c r="F5" i="23" l="1"/>
  <c r="H5" i="24"/>
  <c r="H9" i="24" s="1"/>
  <c r="H12" i="24"/>
  <c r="K13" i="24"/>
  <c r="K15" i="24" s="1"/>
  <c r="N9" i="24"/>
  <c r="N13" i="24" s="1"/>
  <c r="N15" i="24" s="1"/>
  <c r="L7" i="23"/>
  <c r="L10" i="23" s="1"/>
  <c r="L12" i="23" s="1"/>
  <c r="I10" i="23"/>
  <c r="I12" i="23" s="1"/>
  <c r="I16" i="23" s="1"/>
  <c r="H11" i="19"/>
  <c r="C17" i="19"/>
  <c r="I17" i="23" l="1"/>
  <c r="I18" i="23" s="1"/>
  <c r="I20" i="23" s="1"/>
  <c r="L16" i="23"/>
  <c r="F12" i="23"/>
  <c r="H24" i="19"/>
  <c r="H13" i="24"/>
  <c r="H15" i="24" s="1"/>
  <c r="N18" i="24"/>
  <c r="N19" i="24" s="1"/>
  <c r="N20" i="24" s="1"/>
  <c r="K18" i="24"/>
  <c r="K19" i="24" s="1"/>
  <c r="K20" i="24" s="1"/>
  <c r="K21" i="24" s="1"/>
  <c r="F7" i="23"/>
  <c r="F10" i="23" s="1"/>
  <c r="H10" i="20"/>
  <c r="H29" i="20" s="1"/>
  <c r="L17" i="23" l="1"/>
  <c r="L18" i="23" s="1"/>
  <c r="L20" i="23" s="1"/>
  <c r="F22" i="23" s="1"/>
  <c r="N21" i="24"/>
  <c r="H23" i="24" s="1"/>
  <c r="H25" i="24" s="1"/>
  <c r="H20" i="24"/>
  <c r="D15" i="24" s="1"/>
  <c r="F16" i="23"/>
  <c r="H18" i="24"/>
  <c r="Q23" i="24" s="1"/>
  <c r="Q25" i="24" s="1"/>
  <c r="Q26" i="24" s="1"/>
  <c r="H15" i="20"/>
  <c r="C17" i="21"/>
  <c r="H6" i="21" s="1"/>
  <c r="J297" i="7"/>
  <c r="J294" i="7"/>
  <c r="J291" i="7"/>
  <c r="J289" i="7"/>
  <c r="J288" i="7"/>
  <c r="J287" i="7"/>
  <c r="H7" i="21"/>
  <c r="C24" i="21"/>
  <c r="C23" i="21"/>
  <c r="H17" i="21" s="1"/>
  <c r="C22" i="21"/>
  <c r="H16" i="21" s="1"/>
  <c r="C21" i="21"/>
  <c r="H12" i="21" s="1"/>
  <c r="C20" i="21"/>
  <c r="H11" i="21" s="1"/>
  <c r="C19" i="21"/>
  <c r="H10" i="21" s="1"/>
  <c r="H8" i="21"/>
  <c r="H5" i="21"/>
  <c r="C20" i="20"/>
  <c r="H28" i="20" s="1"/>
  <c r="C26" i="20"/>
  <c r="C24" i="20"/>
  <c r="C22" i="20"/>
  <c r="C21" i="20"/>
  <c r="C19" i="20"/>
  <c r="C18" i="20"/>
  <c r="H31" i="20" s="1"/>
  <c r="H14" i="20" l="1"/>
  <c r="Q27" i="24"/>
  <c r="Q29" i="24" s="1"/>
  <c r="F21" i="23"/>
  <c r="F20" i="23" s="1"/>
  <c r="F17" i="23"/>
  <c r="F18" i="23" s="1"/>
  <c r="H22" i="24"/>
  <c r="H21" i="24" s="1"/>
  <c r="H19" i="24"/>
  <c r="H24" i="21"/>
  <c r="H9" i="21"/>
  <c r="H13" i="21" s="1"/>
  <c r="H15" i="21" s="1"/>
  <c r="H18" i="21" s="1"/>
  <c r="H31" i="21" s="1"/>
  <c r="H9" i="20"/>
  <c r="H30" i="20" s="1"/>
  <c r="H33" i="20" s="1"/>
  <c r="H8" i="20"/>
  <c r="H33" i="21" l="1"/>
  <c r="H34" i="21" s="1"/>
  <c r="H34" i="20"/>
  <c r="H19" i="21"/>
  <c r="H20" i="21" s="1"/>
  <c r="H35" i="21" l="1"/>
  <c r="H37" i="21" s="1"/>
  <c r="H35" i="20"/>
  <c r="H37" i="20" s="1"/>
  <c r="H38" i="20" s="1"/>
  <c r="H23" i="21"/>
  <c r="H22" i="21" s="1"/>
  <c r="H21" i="21" s="1"/>
  <c r="D15" i="21"/>
  <c r="C15" i="24"/>
  <c r="E15" i="24" s="1"/>
  <c r="H13" i="20"/>
  <c r="K8" i="20" s="1"/>
  <c r="K9" i="20" l="1"/>
  <c r="K10" i="20" s="1"/>
  <c r="H25" i="21"/>
  <c r="C15" i="21" s="1"/>
  <c r="E15" i="21" s="1"/>
  <c r="H5" i="20"/>
  <c r="H12" i="20" s="1"/>
  <c r="H16" i="20"/>
  <c r="C23" i="19"/>
  <c r="H7" i="19" s="1"/>
  <c r="H6" i="19"/>
  <c r="C21" i="19"/>
  <c r="C19" i="19"/>
  <c r="H17" i="19" s="1"/>
  <c r="C18" i="19"/>
  <c r="H16" i="19" s="1"/>
  <c r="H12" i="19"/>
  <c r="H10" i="19"/>
  <c r="H8" i="19"/>
  <c r="H5" i="19"/>
  <c r="H4" i="20" l="1"/>
  <c r="C15" i="20" s="1"/>
  <c r="K11" i="20"/>
  <c r="K13" i="20" s="1"/>
  <c r="K14" i="20" s="1"/>
  <c r="D15" i="20"/>
  <c r="H9" i="19"/>
  <c r="H13" i="19" s="1"/>
  <c r="H15" i="19" s="1"/>
  <c r="H18" i="19" s="1"/>
  <c r="H31" i="19" s="1"/>
  <c r="H33" i="19" s="1"/>
  <c r="H34" i="19" s="1"/>
  <c r="H35" i="19" l="1"/>
  <c r="H37" i="19" s="1"/>
  <c r="E15" i="20"/>
  <c r="H19" i="19"/>
  <c r="H20" i="19" s="1"/>
  <c r="H23" i="19" l="1"/>
  <c r="H22" i="19" s="1"/>
  <c r="D13" i="19"/>
  <c r="H25" i="19" l="1"/>
  <c r="C13" i="19" s="1"/>
  <c r="E13" i="19" s="1"/>
  <c r="H21" i="19"/>
  <c r="C23" i="18" l="1"/>
  <c r="C24" i="18"/>
  <c r="N5" i="18"/>
  <c r="H5" i="18" s="1"/>
  <c r="K9" i="18"/>
  <c r="H23" i="18" l="1"/>
  <c r="Q24" i="18"/>
  <c r="N8" i="18"/>
  <c r="H8" i="18" s="1"/>
  <c r="C26" i="18"/>
  <c r="C22" i="18"/>
  <c r="C21" i="18"/>
  <c r="C20" i="18"/>
  <c r="C19" i="18"/>
  <c r="J285" i="7"/>
  <c r="J283" i="7"/>
  <c r="J282" i="7"/>
  <c r="J281" i="7"/>
  <c r="J279" i="7"/>
  <c r="J276" i="7"/>
  <c r="J275" i="7"/>
  <c r="J273" i="7"/>
  <c r="J270" i="7"/>
  <c r="J267" i="7"/>
  <c r="J265" i="7"/>
  <c r="J264" i="7"/>
  <c r="J263" i="7"/>
  <c r="J261" i="7"/>
  <c r="J258" i="7"/>
  <c r="J257" i="7"/>
  <c r="J255" i="7"/>
  <c r="J243" i="7"/>
  <c r="J249" i="7"/>
  <c r="J237" i="7"/>
  <c r="J225" i="7"/>
  <c r="C25" i="1"/>
  <c r="C24" i="14"/>
  <c r="H7" i="14" s="1"/>
  <c r="D171" i="7"/>
  <c r="D169" i="7"/>
  <c r="D168" i="7"/>
  <c r="D167" i="7"/>
  <c r="C18" i="14" s="1"/>
  <c r="D166" i="7"/>
  <c r="C25" i="18" s="1"/>
  <c r="D177" i="7"/>
  <c r="D175" i="7"/>
  <c r="D174" i="7"/>
  <c r="D173" i="7"/>
  <c r="D172" i="7"/>
  <c r="D165" i="7"/>
  <c r="D163" i="7"/>
  <c r="D162" i="7"/>
  <c r="D161" i="7"/>
  <c r="D160" i="7"/>
  <c r="N14" i="18" l="1"/>
  <c r="H14" i="18" s="1"/>
  <c r="N15" i="18"/>
  <c r="H15" i="18" s="1"/>
  <c r="N7" i="18"/>
  <c r="H7" i="18" s="1"/>
  <c r="N16" i="18"/>
  <c r="H16" i="18" s="1"/>
  <c r="C18" i="8" l="1"/>
  <c r="C19" i="14"/>
  <c r="F27" i="7"/>
  <c r="F26" i="7"/>
  <c r="F25" i="7"/>
  <c r="F24" i="7"/>
  <c r="C18" i="18"/>
  <c r="N6" i="18" s="1"/>
  <c r="F23" i="7"/>
  <c r="F22" i="7"/>
  <c r="F20" i="7"/>
  <c r="H6" i="18" l="1"/>
  <c r="C20" i="14"/>
  <c r="H14" i="14" s="1"/>
  <c r="H8" i="14"/>
  <c r="H5" i="14"/>
  <c r="C23" i="14"/>
  <c r="C22" i="14"/>
  <c r="C21" i="14"/>
  <c r="H16" i="14" s="1"/>
  <c r="N8" i="12"/>
  <c r="H8" i="12" s="1"/>
  <c r="N15" i="12"/>
  <c r="H15" i="12" s="1"/>
  <c r="C25" i="12"/>
  <c r="C24" i="12"/>
  <c r="C23" i="12"/>
  <c r="N16" i="12" s="1"/>
  <c r="H16" i="12" s="1"/>
  <c r="C22" i="12"/>
  <c r="N14" i="12" s="1"/>
  <c r="H14" i="12" s="1"/>
  <c r="H23" i="12" l="1"/>
  <c r="Q24" i="12"/>
  <c r="H23" i="14"/>
  <c r="H44" i="14"/>
  <c r="N9" i="18"/>
  <c r="H9" i="18" s="1"/>
  <c r="H6" i="12"/>
  <c r="N5" i="12"/>
  <c r="H5" i="12" s="1"/>
  <c r="K9" i="12"/>
  <c r="K10" i="12" s="1"/>
  <c r="K11" i="12" s="1"/>
  <c r="K13" i="12" s="1"/>
  <c r="N10" i="18" l="1"/>
  <c r="N11" i="18" s="1"/>
  <c r="N13" i="18" s="1"/>
  <c r="N17" i="18" s="1"/>
  <c r="N18" i="18" s="1"/>
  <c r="N19" i="18" s="1"/>
  <c r="C38" i="18" s="1"/>
  <c r="K17" i="12"/>
  <c r="N22" i="18" l="1"/>
  <c r="K18" i="12"/>
  <c r="K19" i="12" s="1"/>
  <c r="K22" i="12" s="1"/>
  <c r="N9" i="12"/>
  <c r="H9" i="12" l="1"/>
  <c r="N10" i="12"/>
  <c r="H10" i="12" s="1"/>
  <c r="N11" i="12" l="1"/>
  <c r="H11" i="12" l="1"/>
  <c r="N13" i="12"/>
  <c r="H13" i="12" l="1"/>
  <c r="N17" i="12"/>
  <c r="H17" i="12" l="1"/>
  <c r="Q19" i="12" s="1"/>
  <c r="N18" i="12"/>
  <c r="Q21" i="12" l="1"/>
  <c r="Q22" i="12" s="1"/>
  <c r="H18" i="12"/>
  <c r="N19" i="12"/>
  <c r="Q23" i="12" l="1"/>
  <c r="Q25" i="12" s="1"/>
  <c r="C31" i="12"/>
  <c r="C37" i="12"/>
  <c r="C36" i="12" s="1"/>
  <c r="C35" i="12" s="1"/>
  <c r="C39" i="12" s="1"/>
  <c r="H22" i="12" s="1"/>
  <c r="N22" i="12"/>
  <c r="H19" i="12"/>
  <c r="D16" i="12" s="1"/>
  <c r="N5" i="10"/>
  <c r="N8" i="10"/>
  <c r="H8" i="10" s="1"/>
  <c r="K5" i="10"/>
  <c r="C27" i="10"/>
  <c r="C26" i="10"/>
  <c r="C25" i="10"/>
  <c r="C24" i="10"/>
  <c r="N17" i="10" s="1"/>
  <c r="H17" i="10" s="1"/>
  <c r="C22" i="10"/>
  <c r="N15" i="10" s="1"/>
  <c r="H15" i="10" s="1"/>
  <c r="N11" i="10"/>
  <c r="H11" i="10" s="1"/>
  <c r="N16" i="10"/>
  <c r="H16" i="10" s="1"/>
  <c r="H24" i="10" l="1"/>
  <c r="H36" i="10"/>
  <c r="D22" i="12"/>
  <c r="E22" i="12" s="1"/>
  <c r="N7" i="10"/>
  <c r="H7" i="10" s="1"/>
  <c r="H5" i="10"/>
  <c r="K9" i="10"/>
  <c r="H21" i="12" l="1"/>
  <c r="H20" i="12" s="1"/>
  <c r="C32" i="12" s="1"/>
  <c r="C33" i="12" s="1"/>
  <c r="H24" i="12"/>
  <c r="C16" i="12" s="1"/>
  <c r="E16" i="12" s="1"/>
  <c r="K12" i="10"/>
  <c r="K14" i="10" l="1"/>
  <c r="K18" i="10" l="1"/>
  <c r="C22" i="8"/>
  <c r="C21" i="8"/>
  <c r="C20" i="8"/>
  <c r="K19" i="10" l="1"/>
  <c r="K20" i="10" l="1"/>
  <c r="H7" i="8"/>
  <c r="H16" i="8"/>
  <c r="H14" i="8"/>
  <c r="H8" i="8"/>
  <c r="H5" i="8"/>
  <c r="C23" i="8"/>
  <c r="H23" i="8" l="1"/>
  <c r="H42" i="8"/>
  <c r="K23" i="10"/>
  <c r="H9" i="8"/>
  <c r="H10" i="8" l="1"/>
  <c r="H11" i="8" s="1"/>
  <c r="H13" i="8" s="1"/>
  <c r="C23" i="1" l="1"/>
  <c r="C22" i="1"/>
  <c r="C20" i="1"/>
  <c r="C19" i="1"/>
  <c r="H15" i="14"/>
  <c r="C18" i="21"/>
  <c r="N6" i="10" l="1"/>
  <c r="N9" i="10" s="1"/>
  <c r="H15" i="8"/>
  <c r="H6" i="1"/>
  <c r="H17" i="8" l="1"/>
  <c r="H6" i="10"/>
  <c r="N10" i="10"/>
  <c r="H10" i="10" s="1"/>
  <c r="H9" i="10"/>
  <c r="H18" i="8" l="1"/>
  <c r="H19" i="8" s="1"/>
  <c r="D14" i="8" s="1"/>
  <c r="H37" i="8"/>
  <c r="H39" i="8" s="1"/>
  <c r="H40" i="8" s="1"/>
  <c r="N12" i="10"/>
  <c r="C31" i="8" l="1"/>
  <c r="C30" i="8" s="1"/>
  <c r="C29" i="8" s="1"/>
  <c r="C33" i="8" s="1"/>
  <c r="H22" i="8" s="1"/>
  <c r="H24" i="8" s="1"/>
  <c r="C14" i="8" s="1"/>
  <c r="E14" i="8" s="1"/>
  <c r="H41" i="8"/>
  <c r="H43" i="8" s="1"/>
  <c r="N14" i="10"/>
  <c r="H12" i="10"/>
  <c r="H11" i="1"/>
  <c r="C24" i="1"/>
  <c r="H16" i="1"/>
  <c r="H15" i="1"/>
  <c r="H17" i="1"/>
  <c r="H8" i="1"/>
  <c r="D19" i="8" l="1"/>
  <c r="E19" i="8" s="1"/>
  <c r="H24" i="1"/>
  <c r="H51" i="1"/>
  <c r="H21" i="8"/>
  <c r="H20" i="8" s="1"/>
  <c r="N18" i="10"/>
  <c r="H14" i="10"/>
  <c r="H9" i="1"/>
  <c r="H10" i="1" s="1"/>
  <c r="H12" i="1" s="1"/>
  <c r="H14" i="1" s="1"/>
  <c r="H18" i="1" s="1"/>
  <c r="H46" i="1" s="1"/>
  <c r="H48" i="1" l="1"/>
  <c r="H49" i="1" s="1"/>
  <c r="H50" i="1" s="1"/>
  <c r="C25" i="8"/>
  <c r="C35" i="10"/>
  <c r="C31" i="10"/>
  <c r="C26" i="8"/>
  <c r="C27" i="8" s="1"/>
  <c r="H19" i="1"/>
  <c r="H20" i="1" s="1"/>
  <c r="D14" i="1" s="1"/>
  <c r="C42" i="10"/>
  <c r="N19" i="10"/>
  <c r="H18" i="10"/>
  <c r="H31" i="10" s="1"/>
  <c r="H33" i="10" s="1"/>
  <c r="H34" i="10" s="1"/>
  <c r="C42" i="1"/>
  <c r="H35" i="10" l="1"/>
  <c r="H37" i="10" s="1"/>
  <c r="H52" i="1"/>
  <c r="D23" i="10"/>
  <c r="E23" i="10" s="1"/>
  <c r="C39" i="1"/>
  <c r="C38" i="1" s="1"/>
  <c r="N20" i="10"/>
  <c r="H19" i="10"/>
  <c r="N23" i="10" l="1"/>
  <c r="C39" i="10"/>
  <c r="C37" i="1"/>
  <c r="C35" i="1" s="1"/>
  <c r="D21" i="1" s="1"/>
  <c r="E21" i="1" s="1"/>
  <c r="H20" i="10"/>
  <c r="C38" i="10" l="1"/>
  <c r="H23" i="10"/>
  <c r="D16" i="10"/>
  <c r="H23" i="1"/>
  <c r="H25" i="1" s="1"/>
  <c r="C14" i="1" s="1"/>
  <c r="E14" i="1" s="1"/>
  <c r="H22" i="1" l="1"/>
  <c r="H21" i="1" s="1"/>
  <c r="C31" i="1" l="1"/>
  <c r="C32" i="1"/>
  <c r="C33" i="1" s="1"/>
  <c r="C37" i="10"/>
  <c r="H25" i="10" l="1"/>
  <c r="H22" i="10" l="1"/>
  <c r="H21" i="10" s="1"/>
  <c r="C16" i="10"/>
  <c r="E16" i="10" l="1"/>
  <c r="C32" i="10"/>
  <c r="C33" i="10" s="1"/>
  <c r="H9" i="14" l="1"/>
  <c r="H10" i="14" s="1"/>
  <c r="H11" i="14" l="1"/>
  <c r="H13" i="14" s="1"/>
  <c r="H17" i="14" s="1"/>
  <c r="H39" i="14" s="1"/>
  <c r="H41" i="14" l="1"/>
  <c r="H42" i="14" s="1"/>
  <c r="H18" i="14"/>
  <c r="H19" i="14" s="1"/>
  <c r="H43" i="14" l="1"/>
  <c r="H45" i="14" s="1"/>
  <c r="C35" i="14"/>
  <c r="C34" i="14" s="1"/>
  <c r="C33" i="14" s="1"/>
  <c r="C37" i="14" s="1"/>
  <c r="D14" i="14"/>
  <c r="H22" i="14" l="1"/>
  <c r="H24" i="14" s="1"/>
  <c r="D19" i="14"/>
  <c r="E19" i="14" s="1"/>
  <c r="C14" i="14" l="1"/>
  <c r="E14" i="14" s="1"/>
  <c r="H21" i="14"/>
  <c r="H20" i="14" s="1"/>
  <c r="C30" i="14" l="1"/>
  <c r="C31" i="14" s="1"/>
  <c r="C29" i="14"/>
  <c r="H10" i="18" l="1"/>
  <c r="K11" i="18"/>
  <c r="K13" i="18" s="1"/>
  <c r="H13" i="18" l="1"/>
  <c r="K17" i="18"/>
  <c r="H11" i="18"/>
  <c r="K18" i="18" l="1"/>
  <c r="H18" i="18" s="1"/>
  <c r="H17" i="18"/>
  <c r="Q19" i="18" s="1"/>
  <c r="Q21" i="18" s="1"/>
  <c r="Q22" i="18" s="1"/>
  <c r="Q23" i="18" l="1"/>
  <c r="Q25" i="18" s="1"/>
  <c r="K19" i="18"/>
  <c r="H19" i="18" s="1"/>
  <c r="C37" i="18" l="1"/>
  <c r="C36" i="18" s="1"/>
  <c r="C40" i="18" s="1"/>
  <c r="K22" i="18"/>
  <c r="H22" i="18" l="1"/>
  <c r="H24" i="18" s="1"/>
  <c r="C16" i="18" s="1"/>
  <c r="D20" i="18"/>
  <c r="E20" i="18" s="1"/>
  <c r="H21" i="18" l="1"/>
  <c r="H20" i="18" s="1"/>
  <c r="D16" i="18"/>
  <c r="E16" i="18" s="1"/>
  <c r="C33" i="18" l="1"/>
  <c r="C34" i="18" s="1"/>
  <c r="C32" i="18"/>
  <c r="F26" i="23" l="1"/>
  <c r="C1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LCBO</author>
    <author>Cicciarella, Stephanie</author>
  </authors>
  <commentList>
    <comment ref="B32" authorId="0" shapeId="0" xr:uid="{CE590217-9CE5-4804-9A71-D7A169ED356F}">
      <text>
        <r>
          <rPr>
            <b/>
            <sz val="9"/>
            <color indexed="81"/>
            <rFont val="Tahoma"/>
            <family val="2"/>
          </rPr>
          <t>Beer is duty free.  In most cases zero should be entered.  There is duty on malt based coolers</t>
        </r>
      </text>
    </comment>
    <comment ref="A178" authorId="1" shapeId="0" xr:uid="{49E672E8-FC5C-458E-92E7-7B6A054FF88C}">
      <text>
        <r>
          <rPr>
            <b/>
            <sz val="9"/>
            <color indexed="81"/>
            <rFont val="Tahoma"/>
            <family val="2"/>
          </rPr>
          <t>Cicciarella, Stephanie:</t>
        </r>
        <r>
          <rPr>
            <sz val="9"/>
            <color indexed="81"/>
            <rFont val="Tahoma"/>
            <family val="2"/>
          </rPr>
          <t xml:space="preserve">
Merch code 1460 and 2260 - Use Wine rate all others use Cooler rate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Baker, Kyle</author>
    <author>LCBO</author>
    <author>Cicciarella, Stephanie</author>
  </authors>
  <commentList>
    <comment ref="B4" authorId="0" shapeId="0" xr:uid="{5F5113E7-DCEB-4AE0-9A1E-A944A68A0541}">
      <text>
        <r>
          <rPr>
            <b/>
            <sz val="9"/>
            <color indexed="81"/>
            <rFont val="Tahoma"/>
            <family val="2"/>
          </rPr>
          <t>Select Spirit type from the drop down menu</t>
        </r>
      </text>
    </comment>
    <comment ref="B5" authorId="1" shapeId="0" xr:uid="{5FA10BF9-219E-4FEA-A576-155D67B05AE0}">
      <text>
        <r>
          <rPr>
            <sz val="9"/>
            <color indexed="81"/>
            <rFont val="Tahoma"/>
            <family val="2"/>
          </rPr>
          <t>Select Y if you will be submitting a certificate of origin (e.g. CETA, CUSMA, CPTPP), N if not - this will impact duty applied</t>
        </r>
      </text>
    </comment>
    <comment ref="B6" authorId="1" shapeId="0" xr:uid="{A2842678-7D03-4EC2-AEB8-47E2E8C39CEE}">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1" shapeId="0" xr:uid="{D379950C-8482-4004-BF47-C346B6C84F99}">
      <text>
        <r>
          <rPr>
            <sz val="9"/>
            <color indexed="81"/>
            <rFont val="Tahoma"/>
            <family val="2"/>
          </rPr>
          <t xml:space="preserve">Enter Supplier Case Quote in Vendor Currency
</t>
        </r>
      </text>
    </comment>
    <comment ref="B10" authorId="0" shapeId="0" xr:uid="{13E667E6-7C60-44DF-BF52-28032CFBA5DF}">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1" authorId="0" shapeId="0" xr:uid="{3521C5AF-C362-467E-931C-61603DADA504}">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2" authorId="0" shapeId="0" xr:uid="{86BF3F98-3403-4BF4-BCA5-40C8AA788099}">
      <text>
        <r>
          <rPr>
            <b/>
            <sz val="9"/>
            <color indexed="81"/>
            <rFont val="Tahoma"/>
            <family val="2"/>
          </rPr>
          <t>Enter the size in litres of the selling unit - e.g. 0.750 or 1.500</t>
        </r>
      </text>
    </comment>
    <comment ref="B13" authorId="0" shapeId="0" xr:uid="{AD2ED7D2-B757-4A58-9C4F-DC2439AFB5A1}">
      <text>
        <r>
          <rPr>
            <b/>
            <sz val="9"/>
            <color indexed="81"/>
            <rFont val="Tahoma"/>
            <family val="2"/>
          </rPr>
          <t>Enter the number of selling units in a shipping case - e.g. 12 or 6 bottles per case</t>
        </r>
        <r>
          <rPr>
            <sz val="9"/>
            <color indexed="81"/>
            <rFont val="Tahoma"/>
            <family val="2"/>
          </rPr>
          <t xml:space="preserve">
</t>
        </r>
      </text>
    </comment>
    <comment ref="B14" authorId="0" shapeId="0" xr:uid="{5E50E097-ABFA-4D42-97AB-90D6C0C1722C}">
      <text>
        <r>
          <rPr>
            <b/>
            <sz val="9"/>
            <color indexed="81"/>
            <rFont val="Tahoma"/>
            <family val="2"/>
          </rPr>
          <t xml:space="preserve">Enter the number of individual bottles in a selling unit </t>
        </r>
        <r>
          <rPr>
            <sz val="9"/>
            <color indexed="81"/>
            <rFont val="Tahoma"/>
            <family val="2"/>
          </rPr>
          <t xml:space="preserve">
</t>
        </r>
      </text>
    </comment>
    <comment ref="B15" authorId="0" shapeId="0" xr:uid="{E3BFA6EA-8877-4B80-9E9F-FA8EAD8FB0DD}">
      <text>
        <r>
          <rPr>
            <b/>
            <sz val="9"/>
            <color indexed="81"/>
            <rFont val="Tahoma"/>
            <family val="2"/>
          </rPr>
          <t>Enter the percentage of alcohol to be used in calculating LAA for excise</t>
        </r>
        <r>
          <rPr>
            <sz val="9"/>
            <color indexed="81"/>
            <rFont val="Tahoma"/>
            <family val="2"/>
          </rPr>
          <t xml:space="preserve">
</t>
        </r>
      </text>
    </comment>
    <comment ref="B18" authorId="1" shapeId="0" xr:uid="{CBD7612C-4313-4569-A34A-AC1E6CC68A50}">
      <text>
        <r>
          <rPr>
            <sz val="11"/>
            <color indexed="81"/>
            <rFont val="Tahoma"/>
            <family val="2"/>
          </rPr>
          <t xml:space="preserve"> Excise rate for is based on product type and alcohol percentage. 
</t>
        </r>
        <r>
          <rPr>
            <b/>
            <u/>
            <sz val="11"/>
            <color indexed="81"/>
            <rFont val="Tahoma"/>
            <family val="2"/>
          </rPr>
          <t>Low Alc/RTD and Spirit Cooler</t>
        </r>
        <r>
          <rPr>
            <sz val="11"/>
            <color indexed="81"/>
            <rFont val="Tahoma"/>
            <family val="2"/>
          </rPr>
          <t xml:space="preserve">
        Refer to Canada Revenue Agency website for the most current </t>
        </r>
        <r>
          <rPr>
            <b/>
            <u/>
            <sz val="11"/>
            <color indexed="81"/>
            <rFont val="Tahoma"/>
            <family val="2"/>
          </rPr>
          <t>Excise duty on spirits rates</t>
        </r>
        <r>
          <rPr>
            <sz val="11"/>
            <color indexed="81"/>
            <rFont val="Tahoma"/>
            <family val="2"/>
          </rPr>
          <t xml:space="preserve">
        https://www.canada.ca/en/revenue-agency/services/forms-publications/publications/edrates/excise-duty-rates.htm
</t>
        </r>
        <r>
          <rPr>
            <b/>
            <u/>
            <sz val="11"/>
            <color indexed="81"/>
            <rFont val="Tahoma"/>
            <family val="2"/>
          </rPr>
          <t>Wine Coolers, Still Cider and Sparkling Cider</t>
        </r>
        <r>
          <rPr>
            <sz val="11"/>
            <color indexed="81"/>
            <rFont val="Tahoma"/>
            <family val="2"/>
          </rPr>
          <t xml:space="preserve">
        Refer to Canada Revenue Agency website for the most current </t>
        </r>
        <r>
          <rPr>
            <b/>
            <u/>
            <sz val="11"/>
            <color indexed="81"/>
            <rFont val="Tahoma"/>
            <family val="2"/>
          </rPr>
          <t>Excise duty on wine rates</t>
        </r>
        <r>
          <rPr>
            <sz val="11"/>
            <color indexed="81"/>
            <rFont val="Tahoma"/>
            <family val="2"/>
          </rPr>
          <t xml:space="preserve">
        https://www.canada.ca/en/revenue-agency/services/forms-publications/publications/edrates/excise-duty-rates.htm
</t>
        </r>
      </text>
    </comment>
    <comment ref="B19" authorId="0" shapeId="0" xr:uid="{2313E451-937A-4B98-8212-599A441995F2}">
      <text>
        <r>
          <rPr>
            <sz val="9"/>
            <color indexed="81"/>
            <rFont val="Tahoma"/>
            <family val="2"/>
          </rPr>
          <t xml:space="preserve">Duty rate is based on certificate of origin applied and product type. </t>
        </r>
      </text>
    </comment>
    <comment ref="B24" authorId="2" shapeId="0" xr:uid="{C33E1D08-C474-493E-9BE0-030A6CD062CC}">
      <text>
        <r>
          <rPr>
            <sz val="12"/>
            <color indexed="81"/>
            <rFont val="Tahoma"/>
            <family val="2"/>
          </rPr>
          <t>Information and rates on the Ontario deposit return program can be found on the www.ontario.ca website or here 
https://www.ontario.ca/laws/regulation/210745#BK18</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LCBO</author>
    <author>Cicciarella, Stephanie</author>
    <author>Baker, Kyle</author>
  </authors>
  <commentList>
    <comment ref="C4" authorId="0" shapeId="0" xr:uid="{4344910F-2D1E-48F7-A636-684A645A879B}">
      <text>
        <r>
          <rPr>
            <b/>
            <sz val="9"/>
            <color indexed="81"/>
            <rFont val="Tahoma"/>
            <family val="2"/>
          </rPr>
          <t>Select the brewery type based on the annual production per annum.  See chart within price calculator tab for production threshold</t>
        </r>
      </text>
    </comment>
    <comment ref="C5" authorId="0" shapeId="0" xr:uid="{6F657689-6131-441A-AA4B-FAF431E23A6D}">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C6" authorId="1" shapeId="0" xr:uid="{CA56A796-C34C-4D8B-A270-060A151F4AC1}">
      <text>
        <r>
          <rPr>
            <sz val="9"/>
            <color indexed="81"/>
            <rFont val="Tahoma"/>
            <family val="2"/>
          </rPr>
          <t xml:space="preserve">
Enter Supplier Case Quote in Vendor Currency</t>
        </r>
      </text>
    </comment>
    <comment ref="B9" authorId="2" shapeId="0" xr:uid="{7C0E138A-9638-4C73-AE6D-53E226F74F1E}">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0" authorId="2" shapeId="0" xr:uid="{44BA5FC3-86F3-43F3-ABA2-440CB9036075}">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2" shapeId="0" xr:uid="{F4748B9A-0164-4DB8-96C3-E7FCBD02FEF5}">
      <text>
        <r>
          <rPr>
            <b/>
            <sz val="9"/>
            <color indexed="81"/>
            <rFont val="Tahoma"/>
            <family val="2"/>
          </rPr>
          <t>Enter the size in litres of the selling unit - e.g. 0.750 or 1.500</t>
        </r>
      </text>
    </comment>
    <comment ref="B12" authorId="2" shapeId="0" xr:uid="{7258D2D7-7001-4879-9F33-2947ABFE9EE7}">
      <text>
        <r>
          <rPr>
            <b/>
            <sz val="9"/>
            <color indexed="81"/>
            <rFont val="Tahoma"/>
            <family val="2"/>
          </rPr>
          <t>Enter the number of selling units in a shipping case - e.g. 12 or 6 bottles per case</t>
        </r>
        <r>
          <rPr>
            <sz val="9"/>
            <color indexed="81"/>
            <rFont val="Tahoma"/>
            <family val="2"/>
          </rPr>
          <t xml:space="preserve">
</t>
        </r>
      </text>
    </comment>
    <comment ref="B13" authorId="2" shapeId="0" xr:uid="{D7314851-0492-448A-9504-F430AB8E4DF6}">
      <text>
        <r>
          <rPr>
            <b/>
            <sz val="9"/>
            <color indexed="81"/>
            <rFont val="Tahoma"/>
            <family val="2"/>
          </rPr>
          <t xml:space="preserve">Enter the number of individual bottles in a selling unit </t>
        </r>
        <r>
          <rPr>
            <sz val="9"/>
            <color indexed="81"/>
            <rFont val="Tahoma"/>
            <family val="2"/>
          </rPr>
          <t xml:space="preserve">
</t>
        </r>
      </text>
    </comment>
    <comment ref="B14" authorId="2" shapeId="0" xr:uid="{98351F17-1122-4F2E-8EEC-073369A74485}">
      <text>
        <r>
          <rPr>
            <b/>
            <sz val="9"/>
            <color indexed="81"/>
            <rFont val="Tahoma"/>
            <family val="2"/>
          </rPr>
          <t>Enter the percentage of alcohol to be used in calculating LAA for excise</t>
        </r>
        <r>
          <rPr>
            <sz val="9"/>
            <color indexed="81"/>
            <rFont val="Tahoma"/>
            <family val="2"/>
          </rPr>
          <t xml:space="preserve">
</t>
        </r>
      </text>
    </comment>
    <comment ref="C17" authorId="0" shapeId="0" xr:uid="{FD1AE685-6892-4782-A866-944AB3158964}">
      <text>
        <r>
          <rPr>
            <b/>
            <sz val="9"/>
            <color indexed="81"/>
            <rFont val="Tahoma"/>
            <family val="2"/>
          </rPr>
          <t>This rate is applied to all beer</t>
        </r>
      </text>
    </comment>
    <comment ref="C18" authorId="0" shapeId="0" xr:uid="{1E631FD3-748A-430C-A275-1CC8C4D433C0}">
      <text>
        <r>
          <rPr>
            <b/>
            <sz val="9"/>
            <color indexed="81"/>
            <rFont val="Tahoma"/>
            <family val="2"/>
          </rPr>
          <t>This rate is applied to beer distributed through the LCBO warehouse system</t>
        </r>
      </text>
    </comment>
    <comment ref="C19" authorId="0" shapeId="0" xr:uid="{852EDFD1-742D-4D0D-AE7C-1AE8969EF72C}">
      <text>
        <r>
          <rPr>
            <b/>
            <sz val="9"/>
            <color indexed="81"/>
            <rFont val="Tahoma"/>
            <family val="2"/>
          </rPr>
          <t>The rate applied is based on the brewery type selected</t>
        </r>
      </text>
    </comment>
    <comment ref="C20" authorId="0" shapeId="0" xr:uid="{E1025604-8D0D-4E48-A2AB-040E4C0E7993}">
      <text>
        <r>
          <rPr>
            <b/>
            <sz val="9"/>
            <color indexed="81"/>
            <rFont val="Tahoma"/>
            <family val="2"/>
          </rPr>
          <t>The rate applied is the standard for all beer</t>
        </r>
      </text>
    </comment>
    <comment ref="C21" authorId="0" shapeId="0" xr:uid="{1D5A2FF9-5781-41AF-B6A6-F5729374948F}">
      <text>
        <r>
          <rPr>
            <b/>
            <sz val="9"/>
            <color indexed="81"/>
            <rFont val="Tahoma"/>
            <family val="2"/>
          </rPr>
          <t>The rate applied is the standard for all non-refillable packages</t>
        </r>
      </text>
    </comment>
    <comment ref="B22" authorId="1" shapeId="0" xr:uid="{59B122DF-F26D-4579-AB33-F054A67ABDA7}">
      <text>
        <r>
          <rPr>
            <sz val="12"/>
            <color indexed="81"/>
            <rFont val="Tahoma"/>
            <family val="2"/>
          </rPr>
          <t>Information and rates on the Ontario deposit return program can be found on the www.ontario.ca website or on the Contact Info worksheet 
https://www.ontario.ca/laws/regulation/210745#BK18</t>
        </r>
      </text>
    </comment>
    <comment ref="C25" authorId="0" shapeId="0" xr:uid="{40EBC82C-39D9-41C3-B523-3661FC141327}">
      <text>
        <r>
          <rPr>
            <b/>
            <sz val="9"/>
            <color indexed="81"/>
            <rFont val="Tahoma"/>
            <family val="2"/>
          </rPr>
          <t>Beer is duty free.  In most cases zero should be entered.  There is duty on malt based coolers</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037327FD-0012-4F4A-B788-B80D8E0E6177}">
      <text>
        <r>
          <rPr>
            <sz val="9"/>
            <color indexed="81"/>
            <rFont val="Tahoma"/>
            <family val="2"/>
          </rPr>
          <t>Select 'R' for regular brewery or 'M' for micro brewery (under 50,000 HL annual production).</t>
        </r>
      </text>
    </comment>
    <comment ref="C5" authorId="0" shapeId="0" xr:uid="{C495259E-8E98-43C6-9CBA-3BBE8FF31F10}">
      <text>
        <r>
          <rPr>
            <sz val="9"/>
            <color indexed="81"/>
            <rFont val="Tahoma"/>
            <family val="2"/>
          </rPr>
          <t>Select 'Y' for bottles that will be re-filled; select 'N' for cans and other non-refillable containers.</t>
        </r>
      </text>
    </comment>
    <comment ref="B7" authorId="0" shapeId="0" xr:uid="{FD19F359-FC38-4831-905C-DBDFF0C8536D}">
      <text>
        <r>
          <rPr>
            <sz val="9"/>
            <color indexed="81"/>
            <rFont val="Tahoma"/>
            <family val="2"/>
          </rPr>
          <t xml:space="preserve">Enter Supplier Case Quote in Vendor Currency
</t>
        </r>
      </text>
    </comment>
    <comment ref="B10" authorId="1" shapeId="0" xr:uid="{959C6972-C7C0-43DC-B5EE-A3BCA1D0FA6B}">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1" shapeId="0" xr:uid="{C16A967C-3204-4874-A314-CA1F8C7D5932}">
      <text>
        <r>
          <rPr>
            <b/>
            <sz val="9"/>
            <color indexed="81"/>
            <rFont val="Tahoma"/>
            <family val="2"/>
          </rPr>
          <t>Enter the size in litres of the selling unit - e.g. 0.750 or 1.500</t>
        </r>
      </text>
    </comment>
    <comment ref="B12" authorId="1" shapeId="0" xr:uid="{5E16F33C-63D6-4E79-8A26-52BB39503CEB}">
      <text>
        <r>
          <rPr>
            <b/>
            <sz val="9"/>
            <color indexed="81"/>
            <rFont val="Tahoma"/>
            <family val="2"/>
          </rPr>
          <t>Enter the number of selling units in a shipping case - e.g. 12 or 6 bottles per case</t>
        </r>
        <r>
          <rPr>
            <sz val="9"/>
            <color indexed="81"/>
            <rFont val="Tahoma"/>
            <family val="2"/>
          </rPr>
          <t xml:space="preserve">
</t>
        </r>
      </text>
    </comment>
    <comment ref="B13" authorId="1" shapeId="0" xr:uid="{C4BFD73A-3AB1-4D4D-8545-AC3999BCAFF9}">
      <text>
        <r>
          <rPr>
            <b/>
            <sz val="9"/>
            <color indexed="81"/>
            <rFont val="Tahoma"/>
            <family val="2"/>
          </rPr>
          <t xml:space="preserve">Enter the number of individual bottles in a selling unit </t>
        </r>
        <r>
          <rPr>
            <sz val="9"/>
            <color indexed="81"/>
            <rFont val="Tahoma"/>
            <family val="2"/>
          </rPr>
          <t xml:space="preserve">
</t>
        </r>
      </text>
    </comment>
    <comment ref="B14" authorId="1" shapeId="0" xr:uid="{29EB1660-4713-431A-88AA-6B2F8005E7F8}">
      <text>
        <r>
          <rPr>
            <b/>
            <sz val="9"/>
            <color indexed="81"/>
            <rFont val="Tahoma"/>
            <family val="2"/>
          </rPr>
          <t>Enter the percentage of alcohol to be used in calculating LAA for excise</t>
        </r>
        <r>
          <rPr>
            <sz val="9"/>
            <color indexed="81"/>
            <rFont val="Tahoma"/>
            <family val="2"/>
          </rPr>
          <t xml:space="preserve">
</t>
        </r>
      </text>
    </comment>
    <comment ref="C15" authorId="0" shapeId="0" xr:uid="{3BDEA64E-6D42-4E59-819D-B6F407CCECD3}">
      <text>
        <r>
          <rPr>
            <sz val="9"/>
            <color indexed="81"/>
            <rFont val="Tahoma"/>
            <family val="2"/>
          </rPr>
          <t>This field is calculated.   It is the supplier quote based on the desired home consumer price entered.  Use this to complete NISS applications and for invoicing for direct delivery</t>
        </r>
      </text>
    </comment>
    <comment ref="C17" authorId="0" shapeId="0" xr:uid="{458208B3-4F95-4A29-A9DA-D64264969A68}">
      <text>
        <r>
          <rPr>
            <b/>
            <sz val="9"/>
            <color indexed="81"/>
            <rFont val="Tahoma"/>
            <family val="2"/>
          </rPr>
          <t>This rate is applied to all beer</t>
        </r>
      </text>
    </comment>
    <comment ref="C18" authorId="0" shapeId="0" xr:uid="{BF0A3649-1C3F-41A1-9FF5-A7DA02CA1926}">
      <text>
        <r>
          <rPr>
            <b/>
            <sz val="9"/>
            <color indexed="81"/>
            <rFont val="Tahoma"/>
            <family val="2"/>
          </rPr>
          <t>This rate is applied to beer distributed through the LCBO warehouse system</t>
        </r>
      </text>
    </comment>
    <comment ref="C19" authorId="0" shapeId="0" xr:uid="{3A4B055D-D6C8-41DB-92FA-12A8B6391F16}">
      <text>
        <r>
          <rPr>
            <b/>
            <sz val="9"/>
            <color indexed="81"/>
            <rFont val="Tahoma"/>
            <family val="2"/>
          </rPr>
          <t>The rate applied is based on the brewery type selected</t>
        </r>
      </text>
    </comment>
    <comment ref="C20" authorId="0" shapeId="0" xr:uid="{CF8F710E-D6F7-47B8-9444-3F9D2FE02719}">
      <text>
        <r>
          <rPr>
            <b/>
            <sz val="9"/>
            <color indexed="81"/>
            <rFont val="Tahoma"/>
            <family val="2"/>
          </rPr>
          <t>The rate applied is the standard for all beer</t>
        </r>
      </text>
    </comment>
    <comment ref="C21" authorId="0" shapeId="0" xr:uid="{A2CCA730-A744-43BE-A0D4-6BB215DB7E7B}">
      <text>
        <r>
          <rPr>
            <b/>
            <sz val="9"/>
            <color indexed="81"/>
            <rFont val="Tahoma"/>
            <family val="2"/>
          </rPr>
          <t>The rate applied is the standard for all non-refillable packages</t>
        </r>
      </text>
    </comment>
    <comment ref="B22" authorId="2" shapeId="0" xr:uid="{6A6AFB89-3FC1-4673-A548-F4AC6D0D8A8B}">
      <text>
        <r>
          <rPr>
            <sz val="12"/>
            <color indexed="81"/>
            <rFont val="Tahoma"/>
            <family val="2"/>
          </rPr>
          <t>Information and rates on the Ontario deposit return program can be found on the www.ontario.ca website or on the Contact Info worksheet 
https://www.ontario.ca/laws/regulation/210745#BK18</t>
        </r>
      </text>
    </comment>
    <comment ref="C25" authorId="0" shapeId="0" xr:uid="{57068A0E-F19D-4678-87D9-C344A513081E}">
      <text>
        <r>
          <rPr>
            <b/>
            <sz val="9"/>
            <color indexed="81"/>
            <rFont val="Tahoma"/>
            <family val="2"/>
          </rPr>
          <t>Beer is duty free.  In most cases zero should be entered.  There is duty on malt based coolers</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LCBO</author>
    <author>Cicciarella, Stephanie</author>
    <author>Baker, Kyle</author>
  </authors>
  <commentList>
    <comment ref="C4" authorId="0" shapeId="0" xr:uid="{5855BB7C-D39D-47C6-BF4B-10AE9569B1E7}">
      <text>
        <r>
          <rPr>
            <b/>
            <sz val="9"/>
            <color indexed="81"/>
            <rFont val="Tahoma"/>
            <family val="2"/>
          </rPr>
          <t>Select the brewery type based on the annual production per annum.  See chart within price calculator tab for production threshold</t>
        </r>
      </text>
    </comment>
    <comment ref="B5" authorId="1" shapeId="0" xr:uid="{8EFE9DEB-CF8D-4B34-9B86-E726F1E144D6}">
      <text>
        <r>
          <rPr>
            <b/>
            <sz val="9"/>
            <color indexed="81"/>
            <rFont val="Tahoma"/>
            <family val="2"/>
          </rPr>
          <t>Select USA/Mexico if valid under CUSMA</t>
        </r>
      </text>
    </comment>
    <comment ref="C6" authorId="0" shapeId="0" xr:uid="{AC981C01-B8F2-41E7-873E-C2321E4964E3}">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7" authorId="2" shapeId="0" xr:uid="{64D02EDD-B467-467E-87A8-371CBC632D75}">
      <text>
        <r>
          <rPr>
            <b/>
            <sz val="9"/>
            <color indexed="81"/>
            <rFont val="Tahoma"/>
            <family val="2"/>
          </rPr>
          <t>Enter Supplier Case Quote in Vendor Currency</t>
        </r>
        <r>
          <rPr>
            <sz val="9"/>
            <color indexed="81"/>
            <rFont val="Tahoma"/>
            <family val="2"/>
          </rPr>
          <t xml:space="preserve">
</t>
        </r>
      </text>
    </comment>
    <comment ref="B8" authorId="2" shapeId="0" xr:uid="{A8934601-842C-4A33-AA0E-8203621B22A8}">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2" shapeId="0" xr:uid="{76A35BC7-6281-4324-A230-F5009E3EEF4A}">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2" shapeId="0" xr:uid="{2AE13D2F-C165-4DD7-A048-4DD800A32BB9}">
      <text>
        <r>
          <rPr>
            <b/>
            <sz val="9"/>
            <color indexed="81"/>
            <rFont val="Tahoma"/>
            <family val="2"/>
          </rPr>
          <t>Enter the size in litres of the selling unit - e.g. 0.750 or 1.500</t>
        </r>
      </text>
    </comment>
    <comment ref="B12" authorId="2" shapeId="0" xr:uid="{E4F543F4-6FDE-4C11-91CE-4D87729F36A8}">
      <text>
        <r>
          <rPr>
            <b/>
            <sz val="9"/>
            <color indexed="81"/>
            <rFont val="Tahoma"/>
            <family val="2"/>
          </rPr>
          <t>Enter the number of selling units in a shipping case - e.g. 12 or 6 bottles per case</t>
        </r>
        <r>
          <rPr>
            <sz val="9"/>
            <color indexed="81"/>
            <rFont val="Tahoma"/>
            <family val="2"/>
          </rPr>
          <t xml:space="preserve">
</t>
        </r>
      </text>
    </comment>
    <comment ref="B13" authorId="2" shapeId="0" xr:uid="{BEBEC0A1-83A7-40E0-8581-BFCA68701029}">
      <text>
        <r>
          <rPr>
            <b/>
            <sz val="9"/>
            <color indexed="81"/>
            <rFont val="Tahoma"/>
            <family val="2"/>
          </rPr>
          <t xml:space="preserve">Enter the number of individual bottles in a selling unit </t>
        </r>
        <r>
          <rPr>
            <sz val="9"/>
            <color indexed="81"/>
            <rFont val="Tahoma"/>
            <family val="2"/>
          </rPr>
          <t xml:space="preserve">
</t>
        </r>
      </text>
    </comment>
    <comment ref="B14" authorId="2" shapeId="0" xr:uid="{23F10C41-3537-478D-90A1-278B7AC1D822}">
      <text>
        <r>
          <rPr>
            <b/>
            <sz val="9"/>
            <color indexed="81"/>
            <rFont val="Tahoma"/>
            <family val="2"/>
          </rPr>
          <t>Enter the percentage of alcohol to be used in calculating LAA for excise</t>
        </r>
        <r>
          <rPr>
            <sz val="9"/>
            <color indexed="81"/>
            <rFont val="Tahoma"/>
            <family val="2"/>
          </rPr>
          <t xml:space="preserve">
</t>
        </r>
      </text>
    </comment>
    <comment ref="C17" authorId="0" shapeId="0" xr:uid="{9BD4A9C7-1A47-41E0-B60F-494F7B469A70}">
      <text>
        <r>
          <rPr>
            <b/>
            <sz val="9"/>
            <color indexed="81"/>
            <rFont val="Tahoma"/>
            <family val="2"/>
          </rPr>
          <t>This rate is not applicable to KEGs</t>
        </r>
      </text>
    </comment>
    <comment ref="C19" authorId="0" shapeId="0" xr:uid="{10C6CD91-C11D-4F26-B672-AF95B771A7DD}">
      <text>
        <r>
          <rPr>
            <b/>
            <sz val="9"/>
            <color indexed="81"/>
            <rFont val="Tahoma"/>
            <family val="2"/>
          </rPr>
          <t>The rate applied is based on the brewery type selected</t>
        </r>
      </text>
    </comment>
    <comment ref="C20" authorId="0" shapeId="0" xr:uid="{84EE9FEF-1301-4308-A338-4096FB49DD38}">
      <text>
        <r>
          <rPr>
            <b/>
            <sz val="9"/>
            <color indexed="81"/>
            <rFont val="Tahoma"/>
            <family val="2"/>
          </rPr>
          <t>The rate applied is the standard for all beer</t>
        </r>
      </text>
    </comment>
    <comment ref="C21" authorId="0" shapeId="0" xr:uid="{2D61D5FC-B7C3-4AF7-88FA-B399CF3EBA12}">
      <text>
        <r>
          <rPr>
            <b/>
            <sz val="9"/>
            <color indexed="81"/>
            <rFont val="Tahoma"/>
            <family val="2"/>
          </rPr>
          <t>The rate applied is the standard for all non-refillable packages</t>
        </r>
      </text>
    </comment>
    <comment ref="B22" authorId="1" shapeId="0" xr:uid="{73BFF29D-6162-4B24-9D19-F91529708E3E}">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32C66022-C86B-4BBB-9C18-C4EE99C85D3E}">
      <text>
        <r>
          <rPr>
            <b/>
            <sz val="9"/>
            <color indexed="81"/>
            <rFont val="Tahoma"/>
            <family val="2"/>
          </rPr>
          <t>Select the brewery type based on the annual production per annum.  See chart within price calculator tab for production threshold</t>
        </r>
      </text>
    </comment>
    <comment ref="C5" authorId="0" shapeId="0" xr:uid="{B276A25D-FBE6-4EB8-A605-8E589AD3B792}">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6" authorId="1" shapeId="0" xr:uid="{3AA53D6A-93A2-41F9-8224-8DD9200C9FED}">
      <text>
        <r>
          <rPr>
            <b/>
            <sz val="9"/>
            <color indexed="81"/>
            <rFont val="Tahoma"/>
            <family val="2"/>
          </rPr>
          <t>Enter Supplier Case Quote in Vendor Currency</t>
        </r>
        <r>
          <rPr>
            <sz val="9"/>
            <color indexed="81"/>
            <rFont val="Tahoma"/>
            <family val="2"/>
          </rPr>
          <t xml:space="preserve">
</t>
        </r>
      </text>
    </comment>
    <comment ref="B7" authorId="1" shapeId="0" xr:uid="{BCEEB850-3EA6-4C77-B601-631038A3D716}">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8" authorId="1" shapeId="0" xr:uid="{146E5FF2-54C5-4610-94CD-230B4C4E5E02}">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1" shapeId="0" xr:uid="{D6BB920F-39D3-433F-AEC5-E7E4E7328133}">
      <text>
        <r>
          <rPr>
            <b/>
            <sz val="9"/>
            <color indexed="81"/>
            <rFont val="Tahoma"/>
            <family val="2"/>
          </rPr>
          <t>Enter the size in litres of the selling unit - e.g. 0.750 or 1.500</t>
        </r>
      </text>
    </comment>
    <comment ref="B11" authorId="1" shapeId="0" xr:uid="{766B897E-201E-4380-854D-A7BAE8C1CC00}">
      <text>
        <r>
          <rPr>
            <b/>
            <sz val="9"/>
            <color indexed="81"/>
            <rFont val="Tahoma"/>
            <family val="2"/>
          </rPr>
          <t>Enter the number of selling units in a shipping case - e.g. 12 or 6 bottles per case</t>
        </r>
        <r>
          <rPr>
            <sz val="9"/>
            <color indexed="81"/>
            <rFont val="Tahoma"/>
            <family val="2"/>
          </rPr>
          <t xml:space="preserve">
</t>
        </r>
      </text>
    </comment>
    <comment ref="B12" authorId="1" shapeId="0" xr:uid="{3AFF27FE-73E6-44D4-9FF3-FD606CA95669}">
      <text>
        <r>
          <rPr>
            <b/>
            <sz val="9"/>
            <color indexed="81"/>
            <rFont val="Tahoma"/>
            <family val="2"/>
          </rPr>
          <t xml:space="preserve">Enter the number of individual bottles in a selling unit </t>
        </r>
        <r>
          <rPr>
            <sz val="9"/>
            <color indexed="81"/>
            <rFont val="Tahoma"/>
            <family val="2"/>
          </rPr>
          <t xml:space="preserve">
</t>
        </r>
      </text>
    </comment>
    <comment ref="B13" authorId="1" shapeId="0" xr:uid="{E007E8AA-1FB4-4FEA-A184-E9AEB1AC8971}">
      <text>
        <r>
          <rPr>
            <b/>
            <sz val="9"/>
            <color indexed="81"/>
            <rFont val="Tahoma"/>
            <family val="2"/>
          </rPr>
          <t>Enter the percentage of alcohol to be used in calculating LAA for excise</t>
        </r>
        <r>
          <rPr>
            <sz val="9"/>
            <color indexed="81"/>
            <rFont val="Tahoma"/>
            <family val="2"/>
          </rPr>
          <t xml:space="preserve">
</t>
        </r>
      </text>
    </comment>
    <comment ref="C16" authorId="0" shapeId="0" xr:uid="{937DF63D-777C-44E0-B645-D9DA275700BB}">
      <text>
        <r>
          <rPr>
            <b/>
            <sz val="9"/>
            <color indexed="81"/>
            <rFont val="Tahoma"/>
            <family val="2"/>
          </rPr>
          <t>This rate is not applicable to KEGs</t>
        </r>
      </text>
    </comment>
    <comment ref="C18" authorId="0" shapeId="0" xr:uid="{C1F7B635-834C-4A39-9F36-E0329468AD41}">
      <text>
        <r>
          <rPr>
            <b/>
            <sz val="9"/>
            <color indexed="81"/>
            <rFont val="Tahoma"/>
            <family val="2"/>
          </rPr>
          <t>The rate applied is based on the brewery type selected</t>
        </r>
      </text>
    </comment>
    <comment ref="C19" authorId="0" shapeId="0" xr:uid="{7AA32A37-A54C-4BA6-8496-BF61EB8190E0}">
      <text>
        <r>
          <rPr>
            <b/>
            <sz val="9"/>
            <color indexed="81"/>
            <rFont val="Tahoma"/>
            <family val="2"/>
          </rPr>
          <t>The rate applied is the standard for all beer</t>
        </r>
      </text>
    </comment>
    <comment ref="C20" authorId="0" shapeId="0" xr:uid="{4D7CCC39-4554-4FFE-B4BC-BD5BBA36FCF2}">
      <text>
        <r>
          <rPr>
            <b/>
            <sz val="9"/>
            <color indexed="81"/>
            <rFont val="Tahoma"/>
            <family val="2"/>
          </rPr>
          <t>The rate applied is the standard for all non-refillable packages</t>
        </r>
      </text>
    </comment>
    <comment ref="B21" authorId="2" shapeId="0" xr:uid="{06C61C14-0BEC-44A8-BFB9-CB164AA6A5CC}">
      <text>
        <r>
          <rPr>
            <sz val="12"/>
            <color indexed="81"/>
            <rFont val="Tahoma"/>
            <family val="2"/>
          </rPr>
          <t>Information and rates on the Ontario deposit return program can be found on the www.ontario.ca website or on the Contact Info worksheet
https://www.ontario.ca/laws/regulation/210745#BK18</t>
        </r>
      </text>
    </comment>
    <comment ref="C24" authorId="0" shapeId="0" xr:uid="{06C03EF5-0442-4024-A8A7-C7202A536BC3}">
      <text>
        <r>
          <rPr>
            <b/>
            <sz val="9"/>
            <color indexed="81"/>
            <rFont val="Tahoma"/>
            <family val="2"/>
          </rPr>
          <t>Beer is duty free.  In most cases zero should be entered.  There is duty on malt based coolers</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Baker, Kyle</author>
    <author>Cicciarella, Stephanie</author>
    <author>LCBO</author>
  </authors>
  <commentList>
    <comment ref="B4" authorId="0" shapeId="0" xr:uid="{E21B667A-922C-4C8A-8D41-1D3AFFDEC9E1}">
      <text>
        <r>
          <rPr>
            <b/>
            <sz val="9"/>
            <color indexed="81"/>
            <rFont val="Tahoma"/>
            <family val="2"/>
          </rPr>
          <t>Select Spirit type from the drop down menu</t>
        </r>
      </text>
    </comment>
    <comment ref="B5" authorId="0" shapeId="0" xr:uid="{7EEFABB7-8C16-48CE-A72B-C8191F872448}">
      <text>
        <r>
          <rPr>
            <b/>
            <sz val="9"/>
            <color indexed="81"/>
            <rFont val="Tahoma"/>
            <family val="2"/>
          </rPr>
          <t>Select Y if you will be submitting a certificate of origin (e.g. CETA, CUSMA, CPTPP), N if not - this will impact duty applied. Domestic = N</t>
        </r>
        <r>
          <rPr>
            <sz val="9"/>
            <color indexed="81"/>
            <rFont val="Tahoma"/>
            <family val="2"/>
          </rPr>
          <t xml:space="preserve">
</t>
        </r>
      </text>
    </comment>
    <comment ref="B6" authorId="1" shapeId="0" xr:uid="{6AE72CC1-BEBD-4477-AC04-3318C2C90C95}">
      <text>
        <r>
          <rPr>
            <b/>
            <sz val="9"/>
            <color indexed="81"/>
            <rFont val="Tahoma"/>
            <family val="2"/>
          </rPr>
          <t>Select USA/Mexico if valid under CUSMA</t>
        </r>
      </text>
    </comment>
    <comment ref="B7" authorId="0" shapeId="0" xr:uid="{27C0FB58-D3ED-4342-8015-A5EB2CDC8CE6}">
      <text>
        <r>
          <rPr>
            <b/>
            <sz val="9"/>
            <color indexed="81"/>
            <rFont val="Tahoma"/>
            <family val="2"/>
          </rPr>
          <t>Enter Supplier Case Quote in Vendor Currency</t>
        </r>
        <r>
          <rPr>
            <sz val="9"/>
            <color indexed="81"/>
            <rFont val="Tahoma"/>
            <family val="2"/>
          </rPr>
          <t xml:space="preserve">
</t>
        </r>
      </text>
    </comment>
    <comment ref="B8" authorId="0" shapeId="0" xr:uid="{B63E850F-31B6-4AD1-888F-A0E601ACC8E4}">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0" shapeId="0" xr:uid="{BFFEDD59-9954-45F5-9E93-0E9FBFDA8603}">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0" shapeId="0" xr:uid="{694608EC-0E88-4E94-9BD9-F2979E1B6F3F}">
      <text>
        <r>
          <rPr>
            <b/>
            <sz val="9"/>
            <color indexed="81"/>
            <rFont val="Tahoma"/>
            <family val="2"/>
          </rPr>
          <t>Enter the size in litres of the selling unit - e.g. 0.750 or 1.500</t>
        </r>
      </text>
    </comment>
    <comment ref="B12" authorId="0" shapeId="0" xr:uid="{B901DB79-61E0-42B7-9C49-45BA9490F688}">
      <text>
        <r>
          <rPr>
            <b/>
            <sz val="9"/>
            <color indexed="81"/>
            <rFont val="Tahoma"/>
            <family val="2"/>
          </rPr>
          <t>Enter the number of selling units in a shipping case - e.g. 12 or 6 bottles per case</t>
        </r>
        <r>
          <rPr>
            <sz val="9"/>
            <color indexed="81"/>
            <rFont val="Tahoma"/>
            <family val="2"/>
          </rPr>
          <t xml:space="preserve">
</t>
        </r>
      </text>
    </comment>
    <comment ref="B13" authorId="0" shapeId="0" xr:uid="{DF3BBBD2-F8DC-4E32-96DF-50FA13513C6A}">
      <text>
        <r>
          <rPr>
            <b/>
            <sz val="9"/>
            <color indexed="81"/>
            <rFont val="Tahoma"/>
            <family val="2"/>
          </rPr>
          <t xml:space="preserve">Enter the number of individual bottles in a selling unit </t>
        </r>
        <r>
          <rPr>
            <sz val="9"/>
            <color indexed="81"/>
            <rFont val="Tahoma"/>
            <family val="2"/>
          </rPr>
          <t xml:space="preserve">
</t>
        </r>
      </text>
    </comment>
    <comment ref="B14" authorId="0" shapeId="0" xr:uid="{DC7C113B-C682-47D0-AB07-BF1CB3BA28D7}">
      <text>
        <r>
          <rPr>
            <b/>
            <sz val="9"/>
            <color indexed="81"/>
            <rFont val="Tahoma"/>
            <family val="2"/>
          </rPr>
          <t>Enter the percentage of alcohol to be used in calculating LAA for excise</t>
        </r>
        <r>
          <rPr>
            <sz val="9"/>
            <color indexed="81"/>
            <rFont val="Tahoma"/>
            <family val="2"/>
          </rPr>
          <t xml:space="preserve">
</t>
        </r>
      </text>
    </comment>
    <comment ref="B17" authorId="2" shapeId="0" xr:uid="{3D8A2569-0485-4B99-A5CA-B64DD0D52D2B}">
      <text>
        <r>
          <rPr>
            <sz val="11"/>
            <color indexed="81"/>
            <rFont val="Tahoma"/>
            <family val="2"/>
          </rPr>
          <t xml:space="preserve"> Excise rate for is based on product type and alcohol percentage. 
There is no excise on domestic wine coolers and ciders made from 100% Canadian-grown agriculture products.  
</t>
        </r>
        <r>
          <rPr>
            <b/>
            <u/>
            <sz val="11"/>
            <color indexed="81"/>
            <rFont val="Tahoma"/>
            <family val="2"/>
          </rPr>
          <t>Low Alc/RTD and Spirit Cooler</t>
        </r>
        <r>
          <rPr>
            <sz val="11"/>
            <color indexed="81"/>
            <rFont val="Tahoma"/>
            <family val="2"/>
          </rPr>
          <t xml:space="preserve">
        Refer to Canada Revenue Agency website for the most current </t>
        </r>
        <r>
          <rPr>
            <b/>
            <u/>
            <sz val="11"/>
            <color indexed="81"/>
            <rFont val="Tahoma"/>
            <family val="2"/>
          </rPr>
          <t>Excise duty on spirits rates or see Contact Info worksheet</t>
        </r>
        <r>
          <rPr>
            <sz val="11"/>
            <color indexed="81"/>
            <rFont val="Tahoma"/>
            <family val="2"/>
          </rPr>
          <t xml:space="preserve">
        https://www.canada.ca/en/revenue-agency/services/forms-publications/publications/edrates/excise-duty-rates.htm
</t>
        </r>
        <r>
          <rPr>
            <b/>
            <u/>
            <sz val="11"/>
            <color indexed="81"/>
            <rFont val="Tahoma"/>
            <family val="2"/>
          </rPr>
          <t>Wine Coolers, Still Cider and Sparkling Cider</t>
        </r>
        <r>
          <rPr>
            <sz val="11"/>
            <color indexed="81"/>
            <rFont val="Tahoma"/>
            <family val="2"/>
          </rPr>
          <t xml:space="preserve">
        Refer to Canada Revenue Agency website for the most current </t>
        </r>
        <r>
          <rPr>
            <b/>
            <u/>
            <sz val="11"/>
            <color indexed="81"/>
            <rFont val="Tahoma"/>
            <family val="2"/>
          </rPr>
          <t>Excise duty on wine rates or see Contact Info worksheet</t>
        </r>
        <r>
          <rPr>
            <sz val="11"/>
            <color indexed="81"/>
            <rFont val="Tahoma"/>
            <family val="2"/>
          </rPr>
          <t xml:space="preserve">
        https://www.canada.ca/en/revenue-agency/services/forms-publications/publications/edrates/excise-duty-rates.htm
</t>
        </r>
      </text>
    </comment>
    <comment ref="B18" authorId="1" shapeId="0" xr:uid="{5751DB32-CB8E-4593-98C0-FB965EBDCE43}">
      <text>
        <r>
          <rPr>
            <b/>
            <sz val="9"/>
            <color indexed="81"/>
            <rFont val="Tahoma"/>
            <family val="2"/>
          </rPr>
          <t>US imports are duty free and other imports are assesed at the Federal Import Duty Rate</t>
        </r>
      </text>
    </comment>
    <comment ref="B24" authorId="1" shapeId="0" xr:uid="{30FF001F-0563-480F-B8FA-4631748F2AD4}">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B4" authorId="0" shapeId="0" xr:uid="{00000000-0006-0000-0000-000001000000}">
      <text>
        <r>
          <rPr>
            <sz val="9"/>
            <color indexed="81"/>
            <rFont val="Tahoma"/>
            <family val="2"/>
          </rPr>
          <t>Select from the drop down box: Table Wine, Light Wine, Fortified, Fortified &gt;=20.1%, Flavoured, Sake or Sparkling</t>
        </r>
      </text>
    </comment>
    <comment ref="B5" authorId="0" shapeId="0" xr:uid="{00000000-0006-0000-0000-000003000000}">
      <text>
        <r>
          <rPr>
            <sz val="9"/>
            <color indexed="81"/>
            <rFont val="Tahoma"/>
            <family val="2"/>
          </rPr>
          <t>Select Y if you will be submitting a certificate of origin (e.g. CETA, CUSMA, CPTPP), N if not - this will impact duty applied</t>
        </r>
      </text>
    </comment>
    <comment ref="B6" authorId="0" shapeId="0" xr:uid="{02DA8A7F-343C-498D-A420-379533DFBAF7}">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00000000-0006-0000-0000-000005000000}">
      <text>
        <r>
          <rPr>
            <sz val="9"/>
            <color indexed="81"/>
            <rFont val="Tahoma"/>
            <family val="2"/>
          </rPr>
          <t xml:space="preserve">Enter Supplier Case Quote in Vendor Currency
</t>
        </r>
      </text>
    </comment>
    <comment ref="B8" authorId="1" shapeId="0" xr:uid="{322DF00A-BE4F-44CF-A8B0-38990E3970D2}">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1" shapeId="0" xr:uid="{9BE3479E-05E7-40E4-B81F-294CA08B7369}">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1" shapeId="0" xr:uid="{04ED997D-BC8C-4A8B-81BA-6AD7609EEB27}">
      <text>
        <r>
          <rPr>
            <b/>
            <sz val="9"/>
            <color indexed="81"/>
            <rFont val="Tahoma"/>
            <family val="2"/>
          </rPr>
          <t>Enter the size in litres of the selling unit - e.g. 0.750 or 1.500</t>
        </r>
      </text>
    </comment>
    <comment ref="B11" authorId="1" shapeId="0" xr:uid="{1BDE1CA8-A0EE-4989-93C2-1AEC9C5F63FA}">
      <text>
        <r>
          <rPr>
            <b/>
            <sz val="9"/>
            <color indexed="81"/>
            <rFont val="Tahoma"/>
            <family val="2"/>
          </rPr>
          <t>Enter the number of selling units in a shipping case - e.g. 12 or 6 bottles per case</t>
        </r>
        <r>
          <rPr>
            <sz val="9"/>
            <color indexed="81"/>
            <rFont val="Tahoma"/>
            <family val="2"/>
          </rPr>
          <t xml:space="preserve">
</t>
        </r>
      </text>
    </comment>
    <comment ref="B12" authorId="1" shapeId="0" xr:uid="{8875BD05-1B0F-4CDE-8430-A151D253308C}">
      <text>
        <r>
          <rPr>
            <b/>
            <sz val="9"/>
            <color indexed="81"/>
            <rFont val="Tahoma"/>
            <family val="2"/>
          </rPr>
          <t xml:space="preserve">Enter the number of individual bottles in a selling unit </t>
        </r>
        <r>
          <rPr>
            <sz val="9"/>
            <color indexed="81"/>
            <rFont val="Tahoma"/>
            <family val="2"/>
          </rPr>
          <t xml:space="preserve">
</t>
        </r>
      </text>
    </comment>
    <comment ref="B13" authorId="1" shapeId="0" xr:uid="{70C17554-10B1-444E-8DA1-F6B6D80D8D61}">
      <text>
        <r>
          <rPr>
            <b/>
            <sz val="9"/>
            <color indexed="81"/>
            <rFont val="Tahoma"/>
            <family val="2"/>
          </rPr>
          <t>Enter the percentage of alcohol to be used in calculating LAA for excise</t>
        </r>
        <r>
          <rPr>
            <sz val="9"/>
            <color indexed="81"/>
            <rFont val="Tahoma"/>
            <family val="2"/>
          </rPr>
          <t xml:space="preserve">
</t>
        </r>
      </text>
    </comment>
    <comment ref="B16" authorId="0" shapeId="0" xr:uid="{03251B39-7E16-468B-8A08-A0A33297360E}">
      <text>
        <r>
          <rPr>
            <sz val="11"/>
            <color indexed="81"/>
            <rFont val="Tahoma"/>
            <family val="2"/>
          </rPr>
          <t xml:space="preserve"> Excise rate for imports is based on product type and alcohol percentage. 
 Excise for domestic brands is paid directly by the supplier to Canada Revenue Agency.
Refer to Canada Revenue Agency website for the most current </t>
        </r>
        <r>
          <rPr>
            <b/>
            <u/>
            <sz val="11"/>
            <color indexed="81"/>
            <rFont val="Tahoma"/>
            <family val="2"/>
          </rPr>
          <t>Excise duty on wine rates or see Contact Info</t>
        </r>
        <r>
          <rPr>
            <sz val="11"/>
            <color indexed="81"/>
            <rFont val="Tahoma"/>
            <family val="2"/>
          </rPr>
          <t xml:space="preserve">
https://www.canada.ca/en/revenue-agency/services/forms-publications/publications/edrates/excise-duty-rates.html</t>
        </r>
      </text>
    </comment>
    <comment ref="B17" authorId="0" shapeId="0" xr:uid="{00000000-0006-0000-0000-000004000000}">
      <text>
        <r>
          <rPr>
            <sz val="11"/>
            <color indexed="81"/>
            <rFont val="Tahoma"/>
            <family val="2"/>
          </rPr>
          <t xml:space="preserve">The Duty rate for wine is based on product, certificate of origin, product type and alcohol percentage. </t>
        </r>
      </text>
    </comment>
    <comment ref="B24" authorId="2" shapeId="0" xr:uid="{C229DBF8-8BF6-4AEC-AA94-997D82847319}">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Baker, Kyle</author>
    <author>LCBO</author>
    <author>Cicciarella, Stephanie</author>
  </authors>
  <commentList>
    <comment ref="B4" authorId="0" shapeId="0" xr:uid="{30F8FD5C-BB21-49A4-BEC7-80E2555333A9}">
      <text>
        <r>
          <rPr>
            <b/>
            <sz val="9"/>
            <color indexed="81"/>
            <rFont val="Tahoma"/>
            <family val="2"/>
          </rPr>
          <t>Select Spirit type from the drop down menu</t>
        </r>
      </text>
    </comment>
    <comment ref="B5" authorId="0" shapeId="0" xr:uid="{6B5907C0-698A-478B-A243-80096E316DAB}">
      <text>
        <r>
          <rPr>
            <b/>
            <sz val="9"/>
            <color indexed="81"/>
            <rFont val="Tahoma"/>
            <family val="2"/>
          </rPr>
          <t>Select Y if you will be submitting a certificate of origin (e.g. CETA, CUSMA, CPTPP), N if not - this will impact duty applied. Domestic = N</t>
        </r>
        <r>
          <rPr>
            <sz val="9"/>
            <color indexed="81"/>
            <rFont val="Tahoma"/>
            <family val="2"/>
          </rPr>
          <t xml:space="preserve">
</t>
        </r>
      </text>
    </comment>
    <comment ref="B6" authorId="1" shapeId="0" xr:uid="{D2BE1691-37E4-44CA-8750-CB3AD8CF69EC}">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6E467156-62E4-46B2-A0DE-22BA8969CD00}">
      <text>
        <r>
          <rPr>
            <b/>
            <sz val="9"/>
            <color indexed="81"/>
            <rFont val="Tahoma"/>
            <family val="2"/>
          </rPr>
          <t>Enter Supplier Case Quote in Vendor Currency</t>
        </r>
        <r>
          <rPr>
            <sz val="9"/>
            <color indexed="81"/>
            <rFont val="Tahoma"/>
            <family val="2"/>
          </rPr>
          <t xml:space="preserve">
</t>
        </r>
      </text>
    </comment>
    <comment ref="B8" authorId="0" shapeId="0" xr:uid="{839C2042-A343-4862-8626-A0FCF597F9B3}">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0" shapeId="0" xr:uid="{D7355D70-B487-40D8-8CEA-EA323DCD36E1}">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0" shapeId="0" xr:uid="{AD8066E1-70A7-4769-A3F5-0A48C87172E8}">
      <text>
        <r>
          <rPr>
            <b/>
            <sz val="9"/>
            <color indexed="81"/>
            <rFont val="Tahoma"/>
            <family val="2"/>
          </rPr>
          <t>Enter the size in litres of the selling unit - e.g. 0.750 or 1.500</t>
        </r>
      </text>
    </comment>
    <comment ref="B11" authorId="0" shapeId="0" xr:uid="{292A0FAA-CC80-4FC2-9322-BE3C50807F3D}">
      <text>
        <r>
          <rPr>
            <b/>
            <sz val="9"/>
            <color indexed="81"/>
            <rFont val="Tahoma"/>
            <family val="2"/>
          </rPr>
          <t>Enter the number of selling units in a shipping case - e.g. 12 or 6 bottles per case</t>
        </r>
        <r>
          <rPr>
            <sz val="9"/>
            <color indexed="81"/>
            <rFont val="Tahoma"/>
            <family val="2"/>
          </rPr>
          <t xml:space="preserve">
</t>
        </r>
      </text>
    </comment>
    <comment ref="B12" authorId="0" shapeId="0" xr:uid="{ACD4E796-DC36-4745-9E93-8C38F17A5C49}">
      <text>
        <r>
          <rPr>
            <b/>
            <sz val="9"/>
            <color indexed="81"/>
            <rFont val="Tahoma"/>
            <family val="2"/>
          </rPr>
          <t xml:space="preserve">Enter the number of individual bottles in a selling unit </t>
        </r>
        <r>
          <rPr>
            <sz val="9"/>
            <color indexed="81"/>
            <rFont val="Tahoma"/>
            <family val="2"/>
          </rPr>
          <t xml:space="preserve">
</t>
        </r>
      </text>
    </comment>
    <comment ref="B13" authorId="0" shapeId="0" xr:uid="{5BD50A37-F28F-4A40-B7B1-BBFB1666C86C}">
      <text>
        <r>
          <rPr>
            <b/>
            <sz val="9"/>
            <color indexed="81"/>
            <rFont val="Tahoma"/>
            <family val="2"/>
          </rPr>
          <t>Enter the percentage of alcohol to be used in calculating LAA for excise</t>
        </r>
        <r>
          <rPr>
            <sz val="9"/>
            <color indexed="81"/>
            <rFont val="Tahoma"/>
            <family val="2"/>
          </rPr>
          <t xml:space="preserve">
</t>
        </r>
      </text>
    </comment>
    <comment ref="B16" authorId="1" shapeId="0" xr:uid="{80596188-EE45-4B68-850C-B3AB4FC34402}">
      <text>
        <r>
          <rPr>
            <sz val="11"/>
            <color indexed="81"/>
            <rFont val="Tahoma"/>
            <family val="2"/>
          </rPr>
          <t>Excise rate for is based on product type and alcohol percentage. 
Domestic Direct Delivery products are excise paid therefore the supplier remits excise directly to Canada revenue agency. Excise will be 0 for Direct Delivery.
Refer to Canada Revenue Agency website for the most current rates in effect.    See Contact Info worksheet for links
https://www.canada.ca/en/revenue-agency/services/forms-publications/publications/edrates/excise-duty-rates.html</t>
        </r>
      </text>
    </comment>
    <comment ref="B17" authorId="0" shapeId="0" xr:uid="{8D156BC5-AF58-4756-B82D-2107CF262783}">
      <text>
        <r>
          <rPr>
            <sz val="9"/>
            <color indexed="81"/>
            <rFont val="Tahoma"/>
            <family val="2"/>
          </rPr>
          <t xml:space="preserve">Duty rate is based on certificate of origin applied and product type. </t>
        </r>
      </text>
    </comment>
    <comment ref="B23" authorId="2" shapeId="0" xr:uid="{B3850F76-8560-4724-935C-72E5DEA80FDE}">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Baker, Kyle</author>
    <author>LCBO</author>
    <author>Cicciarella, Stephanie</author>
  </authors>
  <commentList>
    <comment ref="B4" authorId="0" shapeId="0" xr:uid="{F3468363-06B0-46E1-AEDC-5ADD3FEA9A46}">
      <text>
        <r>
          <rPr>
            <b/>
            <sz val="9"/>
            <color indexed="81"/>
            <rFont val="Tahoma"/>
            <family val="2"/>
          </rPr>
          <t xml:space="preserve">Select Spirit type from the drop down menu
Depending on the ABV, note the following to select the correct calculator and type of spirit
Where the ABV is 
</t>
        </r>
        <r>
          <rPr>
            <sz val="9"/>
            <color indexed="81"/>
            <rFont val="Tahoma"/>
            <family val="2"/>
          </rPr>
          <t xml:space="preserve">Less than and equal to 7% = Cooler RTD Cider ;  product type Spirits Cooler Calc
7.1%  - 17%a = Cooler RTD Cider ;  product type Low Alc/RTD Calc
17.1% and higher = Spirits Calculator
</t>
        </r>
      </text>
    </comment>
    <comment ref="B5" authorId="0" shapeId="0" xr:uid="{14DC6698-A456-4183-AF00-710BE9DE72DF}">
      <text>
        <r>
          <rPr>
            <sz val="9"/>
            <color indexed="81"/>
            <rFont val="Tahoma"/>
            <family val="2"/>
          </rPr>
          <t xml:space="preserve">The trade deal will impact the duty applied to the landed cost.
Select 
If COSD Region is Domestic ; Trade Deal = N
</t>
        </r>
        <r>
          <rPr>
            <u/>
            <sz val="9"/>
            <color indexed="81"/>
            <rFont val="Tahoma"/>
            <family val="2"/>
          </rPr>
          <t>For all others :</t>
        </r>
        <r>
          <rPr>
            <sz val="9"/>
            <color indexed="81"/>
            <rFont val="Tahoma"/>
            <family val="2"/>
          </rPr>
          <t xml:space="preserve">
</t>
        </r>
        <r>
          <rPr>
            <b/>
            <sz val="9"/>
            <color indexed="81"/>
            <rFont val="Tahoma"/>
            <family val="2"/>
          </rPr>
          <t>Y</t>
        </r>
        <r>
          <rPr>
            <sz val="9"/>
            <color indexed="81"/>
            <rFont val="Tahoma"/>
            <family val="2"/>
          </rPr>
          <t xml:space="preserve"> if there is/going to be a certificate of origin (e.g. CETA, CUSMA, CPTPP) submitted to the LCBO origin.certificates@lcbo.com
</t>
        </r>
        <r>
          <rPr>
            <b/>
            <sz val="9"/>
            <color indexed="81"/>
            <rFont val="Tahoma"/>
            <family val="2"/>
          </rPr>
          <t>N</t>
        </r>
        <r>
          <rPr>
            <sz val="9"/>
            <color indexed="81"/>
            <rFont val="Tahoma"/>
            <family val="2"/>
          </rPr>
          <t xml:space="preserve"> if not
</t>
        </r>
      </text>
    </comment>
    <comment ref="B6" authorId="1" shapeId="0" xr:uid="{98213ADC-E039-4580-8FFD-AD9630D9FA8E}">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93180BAB-91F5-4F64-9D53-190EE0A36A43}">
      <text>
        <r>
          <rPr>
            <b/>
            <sz val="9"/>
            <color indexed="81"/>
            <rFont val="Tahoma"/>
            <family val="2"/>
          </rPr>
          <t>Enter Supplier Case Quote in Vendor Currency</t>
        </r>
        <r>
          <rPr>
            <sz val="9"/>
            <color indexed="81"/>
            <rFont val="Tahoma"/>
            <family val="2"/>
          </rPr>
          <t xml:space="preserve">
</t>
        </r>
      </text>
    </comment>
    <comment ref="B8" authorId="0" shapeId="0" xr:uid="{593CFAD1-818C-4142-94D3-6A1C715E3EBF}">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9" authorId="0" shapeId="0" xr:uid="{BFB15466-A2C4-4CB1-9796-D630CB4496E4}">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0" shapeId="0" xr:uid="{EA99A3C5-A29F-47F6-9DC6-BBD82556CA93}">
      <text>
        <r>
          <rPr>
            <b/>
            <sz val="9"/>
            <color indexed="81"/>
            <rFont val="Tahoma"/>
            <family val="2"/>
          </rPr>
          <t>Enter the size in litres of the selling unit - e.g. 0.750 or 1.500</t>
        </r>
      </text>
    </comment>
    <comment ref="B11" authorId="0" shapeId="0" xr:uid="{C426BB9D-C2FD-4555-8CDD-B29292723834}">
      <text>
        <r>
          <rPr>
            <b/>
            <sz val="9"/>
            <color indexed="81"/>
            <rFont val="Tahoma"/>
            <family val="2"/>
          </rPr>
          <t>Enter the number of selling units in a shipping case - e.g. 12 or 6 bottles per case</t>
        </r>
        <r>
          <rPr>
            <sz val="9"/>
            <color indexed="81"/>
            <rFont val="Tahoma"/>
            <family val="2"/>
          </rPr>
          <t xml:space="preserve">
</t>
        </r>
      </text>
    </comment>
    <comment ref="B12" authorId="0" shapeId="0" xr:uid="{77EB8F84-924B-4EAF-9784-3D1EDF3B183F}">
      <text>
        <r>
          <rPr>
            <b/>
            <sz val="9"/>
            <color indexed="81"/>
            <rFont val="Tahoma"/>
            <family val="2"/>
          </rPr>
          <t xml:space="preserve">Enter the number of individual bottles in a selling unit </t>
        </r>
        <r>
          <rPr>
            <sz val="9"/>
            <color indexed="81"/>
            <rFont val="Tahoma"/>
            <family val="2"/>
          </rPr>
          <t xml:space="preserve">
</t>
        </r>
      </text>
    </comment>
    <comment ref="B13" authorId="0" shapeId="0" xr:uid="{990048C4-80D1-4220-A6B7-3B991DECB7E1}">
      <text>
        <r>
          <rPr>
            <b/>
            <sz val="9"/>
            <color indexed="81"/>
            <rFont val="Tahoma"/>
            <family val="2"/>
          </rPr>
          <t>Enter the percentage of alcohol to be used in calculating LAA for excise</t>
        </r>
        <r>
          <rPr>
            <sz val="9"/>
            <color indexed="81"/>
            <rFont val="Tahoma"/>
            <family val="2"/>
          </rPr>
          <t xml:space="preserve">
</t>
        </r>
      </text>
    </comment>
    <comment ref="B16" authorId="1" shapeId="0" xr:uid="{CF4D768C-C62F-4D95-A2C6-E481B4228CBD}">
      <text>
        <r>
          <rPr>
            <sz val="11"/>
            <color indexed="81"/>
            <rFont val="Tahoma"/>
            <family val="2"/>
          </rPr>
          <t xml:space="preserve"> Excise rate for is based on product type and alcohol percentage. 
</t>
        </r>
        <r>
          <rPr>
            <b/>
            <u/>
            <sz val="11"/>
            <color indexed="81"/>
            <rFont val="Tahoma"/>
            <family val="2"/>
          </rPr>
          <t>Low Alc/RTD and Spirit Cooler</t>
        </r>
        <r>
          <rPr>
            <sz val="11"/>
            <color indexed="81"/>
            <rFont val="Tahoma"/>
            <family val="2"/>
          </rPr>
          <t xml:space="preserve">
        Refer to Canada Revenue Agency website for the most current </t>
        </r>
        <r>
          <rPr>
            <b/>
            <u/>
            <sz val="11"/>
            <color indexed="81"/>
            <rFont val="Tahoma"/>
            <family val="2"/>
          </rPr>
          <t>Excise duty on spirits rates or see Contact Info worksheet</t>
        </r>
        <r>
          <rPr>
            <sz val="11"/>
            <color indexed="81"/>
            <rFont val="Tahoma"/>
            <family val="2"/>
          </rPr>
          <t xml:space="preserve">
        https://www.canada.ca/en/revenue-agency/services/forms-publications/publications/edrates/excise-duty-rates.htm
</t>
        </r>
        <r>
          <rPr>
            <b/>
            <u/>
            <sz val="11"/>
            <color indexed="81"/>
            <rFont val="Tahoma"/>
            <family val="2"/>
          </rPr>
          <t>Wine Coolers, Still Cider and Sparkling Cider</t>
        </r>
        <r>
          <rPr>
            <sz val="11"/>
            <color indexed="81"/>
            <rFont val="Tahoma"/>
            <family val="2"/>
          </rPr>
          <t xml:space="preserve">
        Refer to Canada Revenue Agency website for the most current </t>
        </r>
        <r>
          <rPr>
            <b/>
            <u/>
            <sz val="11"/>
            <color indexed="81"/>
            <rFont val="Tahoma"/>
            <family val="2"/>
          </rPr>
          <t>Excise duty on wine rates or see Contact Info worksheet</t>
        </r>
        <r>
          <rPr>
            <sz val="11"/>
            <color indexed="81"/>
            <rFont val="Tahoma"/>
            <family val="2"/>
          </rPr>
          <t xml:space="preserve">
        https://www.canada.ca/en/revenue-agency/services/forms-publications/publications/edrates/excise-duty-rates.htm
</t>
        </r>
      </text>
    </comment>
    <comment ref="B17" authorId="0" shapeId="0" xr:uid="{B5ED609C-6FA5-48D6-AE78-5476EA350261}">
      <text>
        <r>
          <rPr>
            <sz val="9"/>
            <color indexed="81"/>
            <rFont val="Tahoma"/>
            <family val="2"/>
          </rPr>
          <t xml:space="preserve">Duty rate is based on certificate of origin applied and product type. </t>
        </r>
      </text>
    </comment>
    <comment ref="B23" authorId="2" shapeId="0" xr:uid="{1DF01131-0EA8-4D75-8938-8CC23D2A511F}">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25EC7DE5-0688-40EF-B990-10CC0DF73D61}">
      <text>
        <r>
          <rPr>
            <b/>
            <sz val="9"/>
            <color indexed="81"/>
            <rFont val="Tahoma"/>
            <family val="2"/>
          </rPr>
          <t>Select the brewery type based on the annual production per annum.  See chart within price calculator tab for production threshold</t>
        </r>
      </text>
    </comment>
    <comment ref="C5" authorId="0" shapeId="0" xr:uid="{3979A95F-59B1-4495-97D8-A5D131A27EE0}">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6" authorId="1" shapeId="0" xr:uid="{B1F56B91-2A22-467E-8E04-7D74B0B8EC52}">
      <text>
        <r>
          <rPr>
            <b/>
            <sz val="9"/>
            <color indexed="81"/>
            <rFont val="Tahoma"/>
            <family val="2"/>
          </rPr>
          <t>Enter Supplier Case Quote in Vendor Currency</t>
        </r>
        <r>
          <rPr>
            <sz val="9"/>
            <color indexed="81"/>
            <rFont val="Tahoma"/>
            <family val="2"/>
          </rPr>
          <t xml:space="preserve">
</t>
        </r>
      </text>
    </comment>
    <comment ref="B7" authorId="1" shapeId="0" xr:uid="{4C204E61-CD35-4486-83F2-6D30898A8151}">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8" authorId="1" shapeId="0" xr:uid="{2B18CB01-7E85-4C6E-9C0E-CBF960D6A34D}">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9" authorId="1" shapeId="0" xr:uid="{38358906-1DE5-418E-889A-653D3702DCFE}">
      <text>
        <r>
          <rPr>
            <b/>
            <sz val="9"/>
            <color indexed="81"/>
            <rFont val="Tahoma"/>
            <family val="2"/>
          </rPr>
          <t>Enter the size in litres of the selling unit - e.g. 0.750 or 1.500</t>
        </r>
      </text>
    </comment>
    <comment ref="B10" authorId="1" shapeId="0" xr:uid="{91332FB9-BC6B-4070-A166-B98870B3E898}">
      <text>
        <r>
          <rPr>
            <b/>
            <sz val="9"/>
            <color indexed="81"/>
            <rFont val="Tahoma"/>
            <family val="2"/>
          </rPr>
          <t>Enter the number of selling units in a shipping case - e.g. 12 or 6 bottles per case</t>
        </r>
        <r>
          <rPr>
            <sz val="9"/>
            <color indexed="81"/>
            <rFont val="Tahoma"/>
            <family val="2"/>
          </rPr>
          <t xml:space="preserve">
</t>
        </r>
      </text>
    </comment>
    <comment ref="B11" authorId="1" shapeId="0" xr:uid="{35A0C1B4-6EA0-41A6-8BB9-ADDAD7B73EE4}">
      <text>
        <r>
          <rPr>
            <b/>
            <sz val="9"/>
            <color indexed="81"/>
            <rFont val="Tahoma"/>
            <family val="2"/>
          </rPr>
          <t xml:space="preserve">Enter the number of individual bottles in a selling unit </t>
        </r>
        <r>
          <rPr>
            <sz val="9"/>
            <color indexed="81"/>
            <rFont val="Tahoma"/>
            <family val="2"/>
          </rPr>
          <t xml:space="preserve">
</t>
        </r>
      </text>
    </comment>
    <comment ref="B12" authorId="1" shapeId="0" xr:uid="{D1E0DB45-80B6-434F-966E-563E20E86437}">
      <text>
        <r>
          <rPr>
            <b/>
            <sz val="9"/>
            <color indexed="81"/>
            <rFont val="Tahoma"/>
            <family val="2"/>
          </rPr>
          <t>Enter the percentage of alcohol to be used in calculating LAA for excise</t>
        </r>
        <r>
          <rPr>
            <sz val="9"/>
            <color indexed="81"/>
            <rFont val="Tahoma"/>
            <family val="2"/>
          </rPr>
          <t xml:space="preserve">
</t>
        </r>
      </text>
    </comment>
    <comment ref="C15" authorId="0" shapeId="0" xr:uid="{0EC01F5E-F529-435B-9F2D-A9D011432380}">
      <text>
        <r>
          <rPr>
            <b/>
            <sz val="9"/>
            <color indexed="81"/>
            <rFont val="Tahoma"/>
            <family val="2"/>
          </rPr>
          <t>This rate is applied to all beer</t>
        </r>
      </text>
    </comment>
    <comment ref="C16" authorId="0" shapeId="0" xr:uid="{60C7DEA9-F27E-4FDA-BE4D-7215A78F6EB4}">
      <text>
        <r>
          <rPr>
            <b/>
            <sz val="9"/>
            <color indexed="81"/>
            <rFont val="Tahoma"/>
            <family val="2"/>
          </rPr>
          <t>This rate is applied to beer distributed through the LCBO warehouse system</t>
        </r>
      </text>
    </comment>
    <comment ref="C17" authorId="0" shapeId="0" xr:uid="{089D11A5-CEED-4ACA-8B35-6F004D240EEC}">
      <text>
        <r>
          <rPr>
            <b/>
            <sz val="9"/>
            <color indexed="81"/>
            <rFont val="Tahoma"/>
            <family val="2"/>
          </rPr>
          <t>The rate applied is based on the brewery type selected</t>
        </r>
      </text>
    </comment>
    <comment ref="C18" authorId="0" shapeId="0" xr:uid="{2904D264-FCA2-4B1B-8D34-3C7D3BF9B2DB}">
      <text>
        <r>
          <rPr>
            <b/>
            <sz val="9"/>
            <color indexed="81"/>
            <rFont val="Tahoma"/>
            <family val="2"/>
          </rPr>
          <t>The rate applied is the standard for all beer</t>
        </r>
      </text>
    </comment>
    <comment ref="C19" authorId="0" shapeId="0" xr:uid="{3DEE51C4-097D-4CE3-A4A5-197CE3337100}">
      <text>
        <r>
          <rPr>
            <b/>
            <sz val="9"/>
            <color indexed="81"/>
            <rFont val="Tahoma"/>
            <family val="2"/>
          </rPr>
          <t>The rate applied is the standard for all non-refillable packages</t>
        </r>
      </text>
    </comment>
    <comment ref="B20" authorId="2" shapeId="0" xr:uid="{C069387C-6D3A-49C1-92D8-31B144A862C3}">
      <text>
        <r>
          <rPr>
            <sz val="12"/>
            <color indexed="81"/>
            <rFont val="Tahoma"/>
            <family val="2"/>
          </rPr>
          <t>Information and rates on the Ontario deposit return program can be found on the www.ontario.ca website or on the Contact Info worksheet
https://www.ontario.ca/laws/regulation/210745#BK18</t>
        </r>
      </text>
    </comment>
    <comment ref="C23" authorId="0" shapeId="0" xr:uid="{519FB26C-FD24-4418-953B-2998661C11F1}">
      <text>
        <r>
          <rPr>
            <b/>
            <sz val="9"/>
            <color indexed="81"/>
            <rFont val="Tahoma"/>
            <family val="2"/>
          </rPr>
          <t>Beer is duty free.  In most cases zero should be entered.  There is duty on malt based coolers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9D8797DB-56F0-47A5-AC35-065CA34E5911}">
      <text>
        <r>
          <rPr>
            <sz val="9"/>
            <color indexed="81"/>
            <rFont val="Tahoma"/>
            <family val="2"/>
          </rPr>
          <t>Enter your desired retail price to produce the required Case Quote Amount</t>
        </r>
      </text>
    </comment>
    <comment ref="H4" authorId="0" shapeId="0" xr:uid="{AF389D77-F177-4D2E-ACA6-74A4FD5799D9}">
      <text>
        <r>
          <rPr>
            <sz val="9"/>
            <color indexed="81"/>
            <rFont val="Tahoma"/>
            <family val="2"/>
          </rPr>
          <t>This field is calculated.   It is the supplier quote based on the desired home consumer price entered.  Use this to complete NISS applications and for invoicing for direct delivery</t>
        </r>
      </text>
    </comment>
    <comment ref="C5" authorId="0" shapeId="0" xr:uid="{4C63F112-3E4E-4BB7-B73E-9F8C41EC6704}">
      <text>
        <r>
          <rPr>
            <sz val="9"/>
            <color indexed="81"/>
            <rFont val="Tahoma"/>
            <family val="2"/>
          </rPr>
          <t>Select 'R' for regular brewery or 'M' for micro brewery (under 50,000 HL annual production).</t>
        </r>
      </text>
    </comment>
    <comment ref="C6" authorId="0" shapeId="0" xr:uid="{C5BADD1A-93B6-41E7-9E55-F4FB81BC8312}">
      <text>
        <r>
          <rPr>
            <b/>
            <sz val="9"/>
            <color indexed="81"/>
            <rFont val="Tahoma"/>
            <family val="2"/>
          </rPr>
          <t>LCBO:</t>
        </r>
        <r>
          <rPr>
            <sz val="9"/>
            <color indexed="81"/>
            <rFont val="Tahoma"/>
            <family val="2"/>
          </rPr>
          <t xml:space="preserve">
Select 'S' for direct delivery or TBS delivery; Select 'W' for beer delivered via LCBO warehouse.</t>
        </r>
      </text>
    </comment>
    <comment ref="C7" authorId="0" shapeId="0" xr:uid="{4A782D04-F387-4316-B82C-6799ECEEAD4B}">
      <text>
        <r>
          <rPr>
            <sz val="9"/>
            <color indexed="81"/>
            <rFont val="Tahoma"/>
            <family val="2"/>
          </rPr>
          <t>Select 'Y' for bottles that will be re-filled; select 'N' for cans and other non-refillable containers.</t>
        </r>
      </text>
    </comment>
    <comment ref="B9" authorId="1" shapeId="0" xr:uid="{3A8B3E4A-8B85-431B-A85D-E7F98CA6D926}">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0" authorId="1" shapeId="0" xr:uid="{4C04AC96-90F6-4C46-8D8E-35FCD0436AC2}">
      <text>
        <r>
          <rPr>
            <b/>
            <sz val="9"/>
            <color indexed="81"/>
            <rFont val="Tahoma"/>
            <family val="2"/>
          </rPr>
          <t>Enter the size in litres of the selling unit - e.g. 0.750 or 1.500</t>
        </r>
      </text>
    </comment>
    <comment ref="B11" authorId="1" shapeId="0" xr:uid="{1327D02C-406E-4D71-8B0B-086A0EAD7B91}">
      <text>
        <r>
          <rPr>
            <b/>
            <sz val="9"/>
            <color indexed="81"/>
            <rFont val="Tahoma"/>
            <family val="2"/>
          </rPr>
          <t>Enter the number of selling units in a shipping case - e.g. 12 or 6 bottles per case</t>
        </r>
        <r>
          <rPr>
            <sz val="9"/>
            <color indexed="81"/>
            <rFont val="Tahoma"/>
            <family val="2"/>
          </rPr>
          <t xml:space="preserve">
</t>
        </r>
      </text>
    </comment>
    <comment ref="B12" authorId="1" shapeId="0" xr:uid="{4202531F-B6EE-47DB-98F0-5F4638E7DF02}">
      <text>
        <r>
          <rPr>
            <b/>
            <sz val="9"/>
            <color indexed="81"/>
            <rFont val="Tahoma"/>
            <family val="2"/>
          </rPr>
          <t xml:space="preserve">Enter the number of individual bottles in a selling unit </t>
        </r>
        <r>
          <rPr>
            <sz val="9"/>
            <color indexed="81"/>
            <rFont val="Tahoma"/>
            <family val="2"/>
          </rPr>
          <t xml:space="preserve">
</t>
        </r>
      </text>
    </comment>
    <comment ref="B13" authorId="1" shapeId="0" xr:uid="{BEB25FE0-F156-40FC-A6F4-8E1536E74D8C}">
      <text>
        <r>
          <rPr>
            <b/>
            <sz val="9"/>
            <color indexed="81"/>
            <rFont val="Tahoma"/>
            <family val="2"/>
          </rPr>
          <t>Enter the percentage of alcohol to be used in calculating LAA for excise</t>
        </r>
        <r>
          <rPr>
            <sz val="9"/>
            <color indexed="81"/>
            <rFont val="Tahoma"/>
            <family val="2"/>
          </rPr>
          <t xml:space="preserve">
</t>
        </r>
      </text>
    </comment>
    <comment ref="C15" authorId="0" shapeId="0" xr:uid="{BAEFD31B-CA98-4E03-B1E0-9284835F789F}">
      <text>
        <r>
          <rPr>
            <sz val="9"/>
            <color indexed="81"/>
            <rFont val="Tahoma"/>
            <family val="2"/>
          </rPr>
          <t>This field is calculated.   It is the supplier quote based on the desired home consumer price entered.  Use this to complete NISS applications and for invoicing for direct delivery</t>
        </r>
      </text>
    </comment>
    <comment ref="C18" authorId="0" shapeId="0" xr:uid="{FDFF40DE-A0C2-4E51-B605-F808E940D554}">
      <text>
        <r>
          <rPr>
            <b/>
            <sz val="9"/>
            <color indexed="81"/>
            <rFont val="Tahoma"/>
            <family val="2"/>
          </rPr>
          <t>This rate is applied to all beer</t>
        </r>
      </text>
    </comment>
    <comment ref="C19" authorId="0" shapeId="0" xr:uid="{1B7663DB-E83F-4A9C-9064-C57A0B649743}">
      <text>
        <r>
          <rPr>
            <b/>
            <sz val="9"/>
            <color indexed="81"/>
            <rFont val="Tahoma"/>
            <family val="2"/>
          </rPr>
          <t>This rate is applied to beer distributed through the LCBO warehouse system</t>
        </r>
      </text>
    </comment>
    <comment ref="C20" authorId="0" shapeId="0" xr:uid="{432C8E8D-BC36-4E6A-BBAD-34BCA8A80337}">
      <text>
        <r>
          <rPr>
            <b/>
            <sz val="9"/>
            <color indexed="81"/>
            <rFont val="Tahoma"/>
            <family val="2"/>
          </rPr>
          <t>The rate applied is based on the brewery type selected</t>
        </r>
      </text>
    </comment>
    <comment ref="C21" authorId="0" shapeId="0" xr:uid="{016499FB-D9BD-4AA8-AA4B-243D822CD900}">
      <text>
        <r>
          <rPr>
            <b/>
            <sz val="9"/>
            <color indexed="81"/>
            <rFont val="Tahoma"/>
            <family val="2"/>
          </rPr>
          <t>The rate applied is the standard for all beer</t>
        </r>
      </text>
    </comment>
    <comment ref="C22" authorId="0" shapeId="0" xr:uid="{06990F56-8F10-4DEC-96C9-9BB1C3D8A080}">
      <text>
        <r>
          <rPr>
            <b/>
            <sz val="9"/>
            <color indexed="81"/>
            <rFont val="Tahoma"/>
            <family val="2"/>
          </rPr>
          <t>The rate applied is the standard for all non-refillable packages</t>
        </r>
      </text>
    </comment>
    <comment ref="B23" authorId="2" shapeId="0" xr:uid="{194814E1-7D77-4260-BAF3-F972B4876015}">
      <text>
        <r>
          <rPr>
            <sz val="12"/>
            <color indexed="81"/>
            <rFont val="Tahoma"/>
            <family val="2"/>
          </rPr>
          <t>Information and rates on the Ontario deposit return program can be found on the www.ontario.ca website or on the Contact Info worksheet
https://www.ontario.ca/laws/regulation/210745#BK18</t>
        </r>
      </text>
    </comment>
    <comment ref="C25" authorId="2" shapeId="0" xr:uid="{F22F2311-60D8-4E5C-875E-BD02B915A2CB}">
      <text>
        <r>
          <rPr>
            <sz val="9"/>
            <color indexed="81"/>
            <rFont val="Tahoma"/>
            <family val="2"/>
          </rPr>
          <t xml:space="preserve">
This field is calculated and includes the excise rate applied to beer for information only.  For Ontario beer, excise is not included in the pricing.  Breweries pay excise directly.</t>
        </r>
      </text>
    </comment>
    <comment ref="H25" authorId="2" shapeId="0" xr:uid="{8F45B5F9-EE1B-40A9-AE18-FF2B1ECD6965}">
      <text>
        <r>
          <rPr>
            <b/>
            <sz val="9"/>
            <color indexed="81"/>
            <rFont val="Tahoma"/>
            <family val="2"/>
          </rPr>
          <t xml:space="preserve">This section will allows you to maximize the quote to achieve the desired retail price.  </t>
        </r>
      </text>
    </comment>
    <comment ref="C26" authorId="0" shapeId="0" xr:uid="{DBBA862A-BCF4-4DDE-900F-3AAF535235EE}">
      <text>
        <r>
          <rPr>
            <b/>
            <sz val="9"/>
            <color indexed="81"/>
            <rFont val="Tahoma"/>
            <family val="2"/>
          </rPr>
          <t>Beer is duty free.  In most cases zero should be entered.  There is duty on malt based coolers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C4" authorId="0" shapeId="0" xr:uid="{65F7D28F-31EC-4EB4-A6E9-832B3A8858E7}">
      <text>
        <r>
          <rPr>
            <b/>
            <sz val="9"/>
            <color indexed="81"/>
            <rFont val="Tahoma"/>
            <family val="2"/>
          </rPr>
          <t>Select the brewery type based on the annual production per annum.  See chart within price calculator tab for production threshold</t>
        </r>
      </text>
    </comment>
    <comment ref="C5" authorId="0" shapeId="0" xr:uid="{A54CEDA0-E66D-497A-AA91-41317324DD3C}">
      <text>
        <r>
          <rPr>
            <b/>
            <sz val="9"/>
            <color indexed="81"/>
            <rFont val="Tahoma"/>
            <family val="2"/>
          </rPr>
          <t>Select Container Type using drop down options: Bottle for glass containers and Can for steel or aluminum</t>
        </r>
        <r>
          <rPr>
            <sz val="9"/>
            <color indexed="81"/>
            <rFont val="Tahoma"/>
            <family val="2"/>
          </rPr>
          <t xml:space="preserve">
</t>
        </r>
      </text>
    </comment>
    <comment ref="B6" authorId="0" shapeId="0" xr:uid="{BAC588D5-F787-4283-9698-7EA3B850982B}">
      <text>
        <r>
          <rPr>
            <sz val="9"/>
            <color indexed="81"/>
            <rFont val="Tahoma"/>
            <family val="2"/>
          </rPr>
          <t>Select Y if you will be submitting a certificate of origin (e.g. CETA, CUSMA, CPTPP), N if not - this will impact duty applied</t>
        </r>
      </text>
    </comment>
    <comment ref="B7" authorId="0" shapeId="0" xr:uid="{3233CC7E-93D5-406C-A1CD-A143C3CDABAB}">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8" authorId="0" shapeId="0" xr:uid="{B572DB20-B06E-45F9-A1DD-321AF7271BC5}">
      <text>
        <r>
          <rPr>
            <sz val="9"/>
            <color indexed="81"/>
            <rFont val="Tahoma"/>
            <family val="2"/>
          </rPr>
          <t xml:space="preserve">Enter Supplier Case Quote in Vendor Currency
</t>
        </r>
      </text>
    </comment>
    <comment ref="B9" authorId="1" shapeId="0" xr:uid="{5685D0BC-31BE-46A4-AE22-1F249B7613D9}">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0" authorId="1" shapeId="0" xr:uid="{6996E7F3-A334-41B5-B265-7B88536FAD71}">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1" authorId="1" shapeId="0" xr:uid="{C0785C2E-94B2-4FB2-B9FF-899623B3AB39}">
      <text>
        <r>
          <rPr>
            <b/>
            <sz val="9"/>
            <color indexed="81"/>
            <rFont val="Tahoma"/>
            <family val="2"/>
          </rPr>
          <t>Enter the size in litres of the selling unit - e.g. 0.750 or 1.500</t>
        </r>
      </text>
    </comment>
    <comment ref="B12" authorId="1" shapeId="0" xr:uid="{DD1D39D0-3F6F-48B6-A828-F64A28CF4CA3}">
      <text>
        <r>
          <rPr>
            <b/>
            <sz val="9"/>
            <color indexed="81"/>
            <rFont val="Tahoma"/>
            <family val="2"/>
          </rPr>
          <t>Enter the number of selling units in a shipping case - e.g. 12 or 6 bottles per case</t>
        </r>
        <r>
          <rPr>
            <sz val="9"/>
            <color indexed="81"/>
            <rFont val="Tahoma"/>
            <family val="2"/>
          </rPr>
          <t xml:space="preserve">
</t>
        </r>
      </text>
    </comment>
    <comment ref="B13" authorId="1" shapeId="0" xr:uid="{EDB2ED10-25A2-45B2-9F36-B4E416C7C5DD}">
      <text>
        <r>
          <rPr>
            <b/>
            <sz val="9"/>
            <color indexed="81"/>
            <rFont val="Tahoma"/>
            <family val="2"/>
          </rPr>
          <t xml:space="preserve">Enter the number of individual bottles in a selling unit </t>
        </r>
        <r>
          <rPr>
            <sz val="9"/>
            <color indexed="81"/>
            <rFont val="Tahoma"/>
            <family val="2"/>
          </rPr>
          <t xml:space="preserve">
</t>
        </r>
      </text>
    </comment>
    <comment ref="B14" authorId="1" shapeId="0" xr:uid="{25BADD6E-CDC1-47F3-9F25-F0F08377EBDA}">
      <text>
        <r>
          <rPr>
            <b/>
            <sz val="9"/>
            <color indexed="81"/>
            <rFont val="Tahoma"/>
            <family val="2"/>
          </rPr>
          <t>Enter the percentage of alcohol to be used in calculating LAA for excise</t>
        </r>
        <r>
          <rPr>
            <sz val="9"/>
            <color indexed="81"/>
            <rFont val="Tahoma"/>
            <family val="2"/>
          </rPr>
          <t xml:space="preserve">
</t>
        </r>
      </text>
    </comment>
    <comment ref="B17" authorId="0" shapeId="0" xr:uid="{52DD9035-45B1-4A32-A7E3-2F67D6B49016}">
      <text>
        <r>
          <rPr>
            <sz val="11"/>
            <color indexed="81"/>
            <rFont val="Tahoma"/>
            <family val="2"/>
          </rPr>
          <t xml:space="preserve"> Excise rate for wine is based on product type and alcohol percentage. 
Refer to Canada Revenue Agency website for the most current rates in effect </t>
        </r>
        <r>
          <rPr>
            <b/>
            <sz val="11"/>
            <color indexed="81"/>
            <rFont val="Tahoma"/>
            <family val="2"/>
          </rPr>
          <t>for link, see Contact Info worksheet</t>
        </r>
        <r>
          <rPr>
            <sz val="11"/>
            <color indexed="81"/>
            <rFont val="Tahoma"/>
            <family val="2"/>
          </rPr>
          <t xml:space="preserve"> 
https://www.canada.ca/en/revenue-agency/services/forms-publications/publications/edrates/excise-duty-rates.html</t>
        </r>
      </text>
    </comment>
    <comment ref="B18" authorId="0" shapeId="0" xr:uid="{5F66ACF4-9AE6-43CC-8665-8C7011CA6E98}">
      <text>
        <r>
          <rPr>
            <sz val="9"/>
            <color indexed="81"/>
            <rFont val="Tahoma"/>
            <family val="2"/>
          </rPr>
          <t>This is a calculated field. Duty rate for wine is based on product/certificate of origin, product type and alcohol percentage. Please refer to Reference tab for applicable rates</t>
        </r>
      </text>
    </comment>
    <comment ref="B19" authorId="0" shapeId="0" xr:uid="{C28EE5CE-4BBD-4E20-B75B-3816B10B7362}">
      <text>
        <r>
          <rPr>
            <b/>
            <sz val="9"/>
            <color indexed="81"/>
            <rFont val="Tahoma"/>
            <family val="2"/>
          </rPr>
          <t>This rate is applied to all beer</t>
        </r>
      </text>
    </comment>
    <comment ref="B20" authorId="0" shapeId="0" xr:uid="{F1A106C7-9D61-48D6-9DD4-CF274307B0AC}">
      <text>
        <r>
          <rPr>
            <b/>
            <sz val="9"/>
            <color indexed="81"/>
            <rFont val="Tahoma"/>
            <family val="2"/>
          </rPr>
          <t>This rate is applied to beer distributed through the LCBO warehouse system</t>
        </r>
        <r>
          <rPr>
            <sz val="9"/>
            <color indexed="81"/>
            <rFont val="Tahoma"/>
            <family val="2"/>
          </rPr>
          <t xml:space="preserve">
</t>
        </r>
      </text>
    </comment>
    <comment ref="B21" authorId="0" shapeId="0" xr:uid="{1DE13206-DC05-4ED7-9A97-9E5EEFBC6382}">
      <text>
        <r>
          <rPr>
            <b/>
            <sz val="9"/>
            <color indexed="81"/>
            <rFont val="Tahoma"/>
            <family val="2"/>
          </rPr>
          <t>The rate applied is based on the brewery type selected</t>
        </r>
        <r>
          <rPr>
            <sz val="9"/>
            <color indexed="81"/>
            <rFont val="Tahoma"/>
            <family val="2"/>
          </rPr>
          <t xml:space="preserve">
</t>
        </r>
      </text>
    </comment>
    <comment ref="B22" authorId="0" shapeId="0" xr:uid="{4876D602-1B00-4745-AD2F-C9C68A983644}">
      <text>
        <r>
          <rPr>
            <b/>
            <sz val="9"/>
            <color indexed="81"/>
            <rFont val="Tahoma"/>
            <family val="2"/>
          </rPr>
          <t>The rate applied is the standard for all beer</t>
        </r>
        <r>
          <rPr>
            <sz val="9"/>
            <color indexed="81"/>
            <rFont val="Tahoma"/>
            <family val="2"/>
          </rPr>
          <t xml:space="preserve">
</t>
        </r>
      </text>
    </comment>
    <comment ref="B23" authorId="0" shapeId="0" xr:uid="{7780077D-E56F-43FC-B089-FF25B1B22390}">
      <text>
        <r>
          <rPr>
            <b/>
            <sz val="9"/>
            <color indexed="81"/>
            <rFont val="Tahoma"/>
            <family val="2"/>
          </rPr>
          <t>The rate applied is the standard for all non-refillable packages</t>
        </r>
        <r>
          <rPr>
            <sz val="9"/>
            <color indexed="81"/>
            <rFont val="Tahoma"/>
            <family val="2"/>
          </rPr>
          <t xml:space="preserve">
</t>
        </r>
      </text>
    </comment>
    <comment ref="B25" authorId="2" shapeId="0" xr:uid="{A3D7AAA2-1E68-4705-A709-1CD5337AA08E}">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B4" authorId="0" shapeId="0" xr:uid="{DBAD349E-E802-4C35-B8FC-A644F9AB8EEB}">
      <text>
        <r>
          <rPr>
            <sz val="9"/>
            <color indexed="81"/>
            <rFont val="Tahoma"/>
            <family val="2"/>
          </rPr>
          <t>Select from the drop down box: Table Wine, Light Wine, Fortified, Fortified &gt;=20.1%, Flavoured, Sake or Sparkling</t>
        </r>
      </text>
    </comment>
    <comment ref="B5" authorId="0" shapeId="0" xr:uid="{95A3C289-3889-4060-B5F8-66F9705E3983}">
      <text>
        <r>
          <rPr>
            <sz val="9"/>
            <color indexed="81"/>
            <rFont val="Tahoma"/>
            <family val="2"/>
          </rPr>
          <t>Select Y if you will be submitting a certificate of origin (e.g. CETA, CUSMA, CPTPP), N if not - this will impact duty applied</t>
        </r>
      </text>
    </comment>
    <comment ref="B6" authorId="0" shapeId="0" xr:uid="{105B4113-C16A-47DB-94A9-BD80D3B275BA}">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A9A44C15-45E6-4489-AEEE-F92149EAF925}">
      <text>
        <r>
          <rPr>
            <sz val="9"/>
            <color indexed="81"/>
            <rFont val="Tahoma"/>
            <family val="2"/>
          </rPr>
          <t xml:space="preserve">Enter Supplier Case Quote in Vendor Currency
</t>
        </r>
      </text>
    </comment>
    <comment ref="B10" authorId="1" shapeId="0" xr:uid="{7F36B11F-210C-4222-BFF9-8530E04185EC}">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1" authorId="1" shapeId="0" xr:uid="{C8BD3BD2-D7F0-44D1-989B-CED20A361BB6}">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2" authorId="1" shapeId="0" xr:uid="{34613BE1-ECEF-46ED-BA68-A074FE7739C5}">
      <text>
        <r>
          <rPr>
            <b/>
            <sz val="9"/>
            <color indexed="81"/>
            <rFont val="Tahoma"/>
            <family val="2"/>
          </rPr>
          <t>Enter the size in litres of the selling unit - e.g. 0.750 or 1.500</t>
        </r>
      </text>
    </comment>
    <comment ref="B13" authorId="1" shapeId="0" xr:uid="{B2F7FC22-197C-443F-966D-F316A5B3B947}">
      <text>
        <r>
          <rPr>
            <b/>
            <sz val="9"/>
            <color indexed="81"/>
            <rFont val="Tahoma"/>
            <family val="2"/>
          </rPr>
          <t>Enter the number of selling units in a shipping case - e.g. 12 or 6 bottles per case</t>
        </r>
        <r>
          <rPr>
            <sz val="9"/>
            <color indexed="81"/>
            <rFont val="Tahoma"/>
            <family val="2"/>
          </rPr>
          <t xml:space="preserve">
</t>
        </r>
      </text>
    </comment>
    <comment ref="B14" authorId="1" shapeId="0" xr:uid="{C4B35DB0-208A-4CE1-9ECE-86923DE4E163}">
      <text>
        <r>
          <rPr>
            <b/>
            <sz val="9"/>
            <color indexed="81"/>
            <rFont val="Tahoma"/>
            <family val="2"/>
          </rPr>
          <t xml:space="preserve">Enter the number of individual bottles in a selling unit </t>
        </r>
        <r>
          <rPr>
            <sz val="9"/>
            <color indexed="81"/>
            <rFont val="Tahoma"/>
            <family val="2"/>
          </rPr>
          <t xml:space="preserve">
</t>
        </r>
      </text>
    </comment>
    <comment ref="B15" authorId="1" shapeId="0" xr:uid="{433B14E1-4596-46E3-BDDB-8485820E1B26}">
      <text>
        <r>
          <rPr>
            <b/>
            <sz val="9"/>
            <color indexed="81"/>
            <rFont val="Tahoma"/>
            <family val="2"/>
          </rPr>
          <t>Enter the percentage of alcohol to be used in calculating LAA for excise</t>
        </r>
        <r>
          <rPr>
            <sz val="9"/>
            <color indexed="81"/>
            <rFont val="Tahoma"/>
            <family val="2"/>
          </rPr>
          <t xml:space="preserve">
</t>
        </r>
      </text>
    </comment>
    <comment ref="B18" authorId="0" shapeId="0" xr:uid="{B6435FD6-122B-43FD-84ED-975D32374D4F}">
      <text>
        <r>
          <rPr>
            <sz val="11"/>
            <color indexed="81"/>
            <rFont val="Tahoma"/>
            <family val="2"/>
          </rPr>
          <t xml:space="preserve"> Excise rate for imports is based on product type and alcohol percentage. 
 Excise for domestic brands is paid directly by the supplier to Canada Revenue Agency.
Refer to Canada Revenue Agency website for the most current </t>
        </r>
        <r>
          <rPr>
            <b/>
            <u/>
            <sz val="11"/>
            <color indexed="81"/>
            <rFont val="Tahoma"/>
            <family val="2"/>
          </rPr>
          <t>Excise duty on wine rates or see Contact Info Worksheet</t>
        </r>
        <r>
          <rPr>
            <sz val="11"/>
            <color indexed="81"/>
            <rFont val="Tahoma"/>
            <family val="2"/>
          </rPr>
          <t xml:space="preserve">
https://www.canada.ca/en/revenue-agency/services/forms-publications/publications/edrates/excise-duty-rates.html</t>
        </r>
      </text>
    </comment>
    <comment ref="B19" authorId="0" shapeId="0" xr:uid="{8CDD0F52-924E-42E3-8446-387EB4DA42E3}">
      <text>
        <r>
          <rPr>
            <sz val="11"/>
            <color indexed="81"/>
            <rFont val="Tahoma"/>
            <family val="2"/>
          </rPr>
          <t xml:space="preserve">The Duty rate for wine is based on product, certificate of origin, product type and alcohol percentage. </t>
        </r>
      </text>
    </comment>
    <comment ref="B26" authorId="2" shapeId="0" xr:uid="{8D8D14C4-6BEE-402B-970F-2D30E7698E0D}">
      <text>
        <r>
          <rPr>
            <sz val="12"/>
            <color indexed="81"/>
            <rFont val="Tahoma"/>
            <family val="2"/>
          </rPr>
          <t>Information and rates on the Ontario deposit return program can be found on the www.ontario.ca website or on the Contact Info worksheet
https://www.ontario.ca/laws/regulation/210745#BK18</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LCBO</author>
    <author>Baker, Kyle</author>
    <author>Cicciarella, Stephanie</author>
  </authors>
  <commentList>
    <comment ref="B4" authorId="0" shapeId="0" xr:uid="{549780C5-B381-4FF0-B972-5BA2304B8E12}">
      <text>
        <r>
          <rPr>
            <sz val="9"/>
            <color indexed="81"/>
            <rFont val="Tahoma"/>
            <family val="2"/>
          </rPr>
          <t>Select from the drop down box: Table Wine, Light Wine, Fortified, Fortified &gt;=20.1%, Flavoured, Sake or Sparkling</t>
        </r>
      </text>
    </comment>
    <comment ref="B5" authorId="0" shapeId="0" xr:uid="{AFA90447-7CD6-4D31-8E9C-8EF6303ACC13}">
      <text>
        <r>
          <rPr>
            <sz val="9"/>
            <color indexed="81"/>
            <rFont val="Tahoma"/>
            <family val="2"/>
          </rPr>
          <t>Select Y if you will be submitting a certificate of origin (e.g. CETA, CUSMA, CPTPP), N if not - this will impact duty applied</t>
        </r>
      </text>
    </comment>
    <comment ref="B6" authorId="0" shapeId="0" xr:uid="{E0405252-EE7A-493C-9956-4F902084AD4C}">
      <text>
        <r>
          <rPr>
            <sz val="12"/>
            <color indexed="81"/>
            <rFont val="Tahoma"/>
            <family val="2"/>
          </rPr>
          <t xml:space="preserve">Select applicable COSD group from the drop down box. For a list of countries under regions of origin used for determining COSD rates, please refer to www.doingbusinesswithlcbo.com or see under Contact Info worksheet.
</t>
        </r>
      </text>
    </comment>
    <comment ref="B7" authorId="0" shapeId="0" xr:uid="{C9C72B8B-1251-4BC3-AA6A-68C7AC4D2714}">
      <text>
        <r>
          <rPr>
            <sz val="9"/>
            <color indexed="81"/>
            <rFont val="Tahoma"/>
            <family val="2"/>
          </rPr>
          <t xml:space="preserve">Enter Supplier Case Quote in Vendor Currency
</t>
        </r>
      </text>
    </comment>
    <comment ref="B10" authorId="1" shapeId="0" xr:uid="{6FA60786-90E1-4005-8FBC-5149AC914A80}">
      <text>
        <r>
          <rPr>
            <sz val="9"/>
            <color indexed="81"/>
            <rFont val="Tahoma"/>
            <family val="2"/>
          </rPr>
          <t xml:space="preserve">Enter exchange rate if quote is in foreign currency. 
If currency is Canadian, enter 1.00. 
Links to the current Exchange Rates can be found on the Contact Info worksheet
</t>
        </r>
      </text>
    </comment>
    <comment ref="B11" authorId="1" shapeId="0" xr:uid="{F5536BE0-4A5D-4B7D-A724-84E17C7D1960}">
      <text>
        <r>
          <rPr>
            <b/>
            <sz val="9"/>
            <color indexed="81"/>
            <rFont val="Tahoma"/>
            <family val="2"/>
          </rPr>
          <t>Enter the case freight for the product, more info on freight rates such as standard freight rates can be found on the Contact Info worksheet</t>
        </r>
        <r>
          <rPr>
            <sz val="9"/>
            <color indexed="81"/>
            <rFont val="Tahoma"/>
            <family val="2"/>
          </rPr>
          <t xml:space="preserve">
</t>
        </r>
      </text>
    </comment>
    <comment ref="B12" authorId="1" shapeId="0" xr:uid="{7E772D68-9F5C-4537-87F6-5C8B2BC1D873}">
      <text>
        <r>
          <rPr>
            <b/>
            <sz val="9"/>
            <color indexed="81"/>
            <rFont val="Tahoma"/>
            <family val="2"/>
          </rPr>
          <t>Enter the size in litres of the selling unit - e.g. 0.750 or 1.500</t>
        </r>
      </text>
    </comment>
    <comment ref="B13" authorId="1" shapeId="0" xr:uid="{5B3198A2-15B8-434B-87DB-DA06936784BB}">
      <text>
        <r>
          <rPr>
            <b/>
            <sz val="9"/>
            <color indexed="81"/>
            <rFont val="Tahoma"/>
            <family val="2"/>
          </rPr>
          <t>Enter the number of selling units in a shipping case - e.g. 12 or 6 bottles per case</t>
        </r>
        <r>
          <rPr>
            <sz val="9"/>
            <color indexed="81"/>
            <rFont val="Tahoma"/>
            <family val="2"/>
          </rPr>
          <t xml:space="preserve">
</t>
        </r>
      </text>
    </comment>
    <comment ref="B14" authorId="1" shapeId="0" xr:uid="{8BB62C58-DF13-4B2D-8605-48B36F76DCB0}">
      <text>
        <r>
          <rPr>
            <b/>
            <sz val="9"/>
            <color indexed="81"/>
            <rFont val="Tahoma"/>
            <family val="2"/>
          </rPr>
          <t xml:space="preserve">Enter the number of individual bottles in a selling unit </t>
        </r>
        <r>
          <rPr>
            <sz val="9"/>
            <color indexed="81"/>
            <rFont val="Tahoma"/>
            <family val="2"/>
          </rPr>
          <t xml:space="preserve">
</t>
        </r>
      </text>
    </comment>
    <comment ref="B15" authorId="1" shapeId="0" xr:uid="{4EDB2D0C-1C77-455E-9F10-53A4C6D22C37}">
      <text>
        <r>
          <rPr>
            <b/>
            <sz val="9"/>
            <color indexed="81"/>
            <rFont val="Tahoma"/>
            <family val="2"/>
          </rPr>
          <t>Enter the percentage of alcohol to be used in calculating LAA for excise</t>
        </r>
        <r>
          <rPr>
            <sz val="9"/>
            <color indexed="81"/>
            <rFont val="Tahoma"/>
            <family val="2"/>
          </rPr>
          <t xml:space="preserve">
</t>
        </r>
      </text>
    </comment>
    <comment ref="B18" authorId="0" shapeId="0" xr:uid="{FA5EB807-E773-4336-A8FA-F952553FE6C9}">
      <text>
        <r>
          <rPr>
            <sz val="11"/>
            <color indexed="81"/>
            <rFont val="Tahoma"/>
            <family val="2"/>
          </rPr>
          <t xml:space="preserve"> Excise rate for is based on product type and alcohol percentage. 
Domestic Direct Delivery products are excise paid therefore the supplier remits excise directly to Canada revenue agency. Excise will be 0 for Direct Delivery.
Refer to Canada Revenue Agency website for the most current </t>
        </r>
        <r>
          <rPr>
            <b/>
            <u/>
            <sz val="11"/>
            <color indexed="81"/>
            <rFont val="Tahoma"/>
            <family val="2"/>
          </rPr>
          <t>Excise duty on spirits rates.  The link is available on the Contact Info worksheet.</t>
        </r>
        <r>
          <rPr>
            <sz val="11"/>
            <color indexed="81"/>
            <rFont val="Tahoma"/>
            <family val="2"/>
          </rPr>
          <t xml:space="preserve">
https://www.canada.ca/en/revenue-agency/services/forms-publications/publications/edrates/excise-duty-rates.html</t>
        </r>
      </text>
    </comment>
    <comment ref="B19" authorId="1" shapeId="0" xr:uid="{F16D4D62-36C5-4A15-90F8-B6758A8368B9}">
      <text>
        <r>
          <rPr>
            <sz val="9"/>
            <color indexed="81"/>
            <rFont val="Tahoma"/>
            <family val="2"/>
          </rPr>
          <t xml:space="preserve">Duty rate is based on certificate of origin applied and product type. </t>
        </r>
      </text>
    </comment>
    <comment ref="B25" authorId="2" shapeId="0" xr:uid="{40E01C59-BE29-4EFA-ADD6-8A6BEEDF3609}">
      <text>
        <r>
          <rPr>
            <sz val="12"/>
            <color indexed="81"/>
            <rFont val="Tahoma"/>
            <family val="2"/>
          </rPr>
          <t>Information and rates on the Ontario deposit return program can be found on the www.ontario.ca website or here 
https://www.ontario.ca/laws/regulation/210745#BK18</t>
        </r>
      </text>
    </comment>
  </commentList>
</comments>
</file>

<file path=xl/sharedStrings.xml><?xml version="1.0" encoding="utf-8"?>
<sst xmlns="http://schemas.openxmlformats.org/spreadsheetml/2006/main" count="2418" uniqueCount="509">
  <si>
    <t>Enter Variables in ALL BLUE boxes only:</t>
  </si>
  <si>
    <t>Type of Wine</t>
  </si>
  <si>
    <t>Wine</t>
  </si>
  <si>
    <t>Excise Rate</t>
  </si>
  <si>
    <t>Validate if final retail price Minimum Retail Price - MRP Index Factor</t>
  </si>
  <si>
    <t>Trade Deal</t>
  </si>
  <si>
    <t>Y</t>
  </si>
  <si>
    <t>Duty Rate</t>
  </si>
  <si>
    <t>LCBOPricingHelpfulToolsandLinks | Doing Business with LCBO</t>
  </si>
  <si>
    <t>COSD Region</t>
  </si>
  <si>
    <t>CPTPP</t>
  </si>
  <si>
    <t>COSD Rate</t>
  </si>
  <si>
    <t>Case Quote</t>
  </si>
  <si>
    <t>Wine Levy ($/L)</t>
  </si>
  <si>
    <t>Exchange Rate</t>
  </si>
  <si>
    <t>Volume Levy ($/L)</t>
  </si>
  <si>
    <t>Freight Rate</t>
  </si>
  <si>
    <t>Mark-Up</t>
  </si>
  <si>
    <t>Selling Unit Size (litres)</t>
  </si>
  <si>
    <t>Environmental Fee</t>
  </si>
  <si>
    <t>Units per Case</t>
  </si>
  <si>
    <t>HST</t>
  </si>
  <si>
    <t>Containers/Selling Unit</t>
  </si>
  <si>
    <t>Container Deposit Rate</t>
  </si>
  <si>
    <t>Alcohol Percentage</t>
  </si>
  <si>
    <t>Litres of absolute alcohol</t>
  </si>
  <si>
    <t>FINAL RETAIL</t>
  </si>
  <si>
    <t>PRICING BREAK DOWN:</t>
  </si>
  <si>
    <t>Supplier Quote (CDN)</t>
  </si>
  <si>
    <t>Duty</t>
  </si>
  <si>
    <t>Excise</t>
  </si>
  <si>
    <t>Landed Cost</t>
  </si>
  <si>
    <t>Mark up</t>
  </si>
  <si>
    <t>Wine Levy</t>
  </si>
  <si>
    <t>Sub-Total (case)</t>
  </si>
  <si>
    <t>Sub-Total (selling unit)</t>
  </si>
  <si>
    <t>Volume Levy</t>
  </si>
  <si>
    <t>COSD Amount</t>
  </si>
  <si>
    <t>Basic Price (not rounded)</t>
  </si>
  <si>
    <t>Retail (not rounded)</t>
  </si>
  <si>
    <t>LICENCEE PRICING:</t>
  </si>
  <si>
    <t>ROUNDED RETAIL</t>
  </si>
  <si>
    <t>Container Deposit</t>
  </si>
  <si>
    <t>FINAL RETAIL PRICE</t>
  </si>
  <si>
    <t>Actual Mark Up %</t>
  </si>
  <si>
    <t>Margin $</t>
  </si>
  <si>
    <t>Margin %</t>
  </si>
  <si>
    <t>Check for Markup</t>
  </si>
  <si>
    <t>Basic</t>
  </si>
  <si>
    <t>Retail</t>
  </si>
  <si>
    <t>Type of Spirit</t>
  </si>
  <si>
    <t>Rum</t>
  </si>
  <si>
    <t xml:space="preserve">Trade Deal </t>
  </si>
  <si>
    <t>Other</t>
  </si>
  <si>
    <t xml:space="preserve">Volume Levy </t>
  </si>
  <si>
    <t>PRICING BREAKDOWN:</t>
  </si>
  <si>
    <t>Case Quote (CDN)</t>
  </si>
  <si>
    <t>Markup</t>
  </si>
  <si>
    <t>Sub-Total case</t>
  </si>
  <si>
    <t>Still Cider</t>
  </si>
  <si>
    <t>N</t>
  </si>
  <si>
    <t>Brewery Type</t>
  </si>
  <si>
    <t>Micro</t>
  </si>
  <si>
    <t>In Store Cost of Service</t>
  </si>
  <si>
    <t>Container Type</t>
  </si>
  <si>
    <t>Bottle</t>
  </si>
  <si>
    <t>Out of Store Cost of Service</t>
  </si>
  <si>
    <t>Basic Fee</t>
  </si>
  <si>
    <t>Bottle Levy</t>
  </si>
  <si>
    <t>Excise rate per litre</t>
  </si>
  <si>
    <t>Duty Rate per litre</t>
  </si>
  <si>
    <t>Case Freight</t>
  </si>
  <si>
    <t>In Store COS</t>
  </si>
  <si>
    <t>Out of Store COS</t>
  </si>
  <si>
    <t>Retail Rounded</t>
  </si>
  <si>
    <t>Final Retail Price</t>
  </si>
  <si>
    <t>Desired Home Consumer Price</t>
  </si>
  <si>
    <t>Regular</t>
  </si>
  <si>
    <t>Delivery Type</t>
  </si>
  <si>
    <t>LCBO Warehouse</t>
  </si>
  <si>
    <t>Refillable</t>
  </si>
  <si>
    <t>Yes</t>
  </si>
  <si>
    <t xml:space="preserve">Can </t>
  </si>
  <si>
    <t>Out Store COS</t>
  </si>
  <si>
    <t>Mark Up</t>
  </si>
  <si>
    <t>Excise Rate per Litre</t>
  </si>
  <si>
    <t>Rounded Retail</t>
  </si>
  <si>
    <t>CASE QUOTE</t>
  </si>
  <si>
    <t>EU/CETA</t>
  </si>
  <si>
    <t>Liquid Cost</t>
  </si>
  <si>
    <t>Packaging Cost</t>
  </si>
  <si>
    <t>Packaging</t>
  </si>
  <si>
    <t>Liquid</t>
  </si>
  <si>
    <t>Packaging Quote (CDN)</t>
  </si>
  <si>
    <t>Liquid Quote (CDN)</t>
  </si>
  <si>
    <t>COSD RATE</t>
  </si>
  <si>
    <t>MarkUp</t>
  </si>
  <si>
    <t>Type of Product</t>
  </si>
  <si>
    <t>Domestic</t>
  </si>
  <si>
    <t>MARKUP</t>
  </si>
  <si>
    <t>VOLUME LEVY</t>
  </si>
  <si>
    <t>ENVIRO FEE ($/Btl)</t>
  </si>
  <si>
    <t>IN STORE COST OF SERVICE</t>
  </si>
  <si>
    <t>OUT OF STORE COST OF SERVICE</t>
  </si>
  <si>
    <t>BASIC FEE USED</t>
  </si>
  <si>
    <t>VOLUME LEVY (per litre)</t>
  </si>
  <si>
    <t>ENVIRONMENTAL FEE</t>
  </si>
  <si>
    <t>EXCISE RATE PER LITRE</t>
  </si>
  <si>
    <t>DUTY RATE PER LITRE</t>
  </si>
  <si>
    <t>Final Retail</t>
  </si>
  <si>
    <t>No</t>
  </si>
  <si>
    <t>Beer Cost of Services</t>
  </si>
  <si>
    <t>Rate</t>
  </si>
  <si>
    <t>Beer In-Store Cost of Service</t>
  </si>
  <si>
    <t>Beer</t>
  </si>
  <si>
    <t>Beer Out-of-Store Cost of Service</t>
  </si>
  <si>
    <t>Less than 5.6%</t>
  </si>
  <si>
    <t>Beer Out-of-Store Cost of Service (Self-delivery)</t>
  </si>
  <si>
    <t>5.6% or more</t>
  </si>
  <si>
    <t>Bottle Tax</t>
  </si>
  <si>
    <t>Non-Refillable Charge</t>
  </si>
  <si>
    <t>Bottle - Can</t>
  </si>
  <si>
    <t>&lt; = 50,000 HL</t>
  </si>
  <si>
    <t>&gt; 50,000 HL</t>
  </si>
  <si>
    <t>Draft/Draught/Keg</t>
  </si>
  <si>
    <t>Excise Calculation</t>
  </si>
  <si>
    <t>Product</t>
  </si>
  <si>
    <t>Wine containing not more than 1.2% absolute ethyl alcohol by volume</t>
  </si>
  <si>
    <t>Wine containing more than 1.2% but not more than 7% absolute ethyl alcohol by volume</t>
  </si>
  <si>
    <t>Wine containing more than 7% absolute ethyl alcohol by volume</t>
  </si>
  <si>
    <t>Sparkling Cider</t>
  </si>
  <si>
    <t>Whisky, Tequila, Brandy</t>
  </si>
  <si>
    <t>Spirits</t>
  </si>
  <si>
    <t>Gin</t>
  </si>
  <si>
    <t>Spirits containing not more than 7% absolute ethyl alcohol by volume1</t>
  </si>
  <si>
    <t>Vodka, Liqueurs and Other</t>
  </si>
  <si>
    <t>Spirits containing more than 7% absolute ethyl alcohol by volume2</t>
  </si>
  <si>
    <t>Flavoured Duty Rate</t>
  </si>
  <si>
    <t>Product - beer packaged in Canada</t>
  </si>
  <si>
    <t>Beer containing not more than 1.2% absolute ethyl alcohol by volume</t>
  </si>
  <si>
    <t>Beer containing more than 1.2% but not more than 2.5% absolute ethyl alcohol by volume</t>
  </si>
  <si>
    <t>Beer containing more than 2.5% absolute ethyl alcohol by volume</t>
  </si>
  <si>
    <t>Product Type</t>
  </si>
  <si>
    <t>Fortified</t>
  </si>
  <si>
    <t>Fortified &gt;= 20.1%</t>
  </si>
  <si>
    <t>Sake</t>
  </si>
  <si>
    <t>Sparkling</t>
  </si>
  <si>
    <t>Coolers and Cider</t>
  </si>
  <si>
    <t>Glass, Tetra, Bag-in-Box, Tetra &lt;=100ml</t>
  </si>
  <si>
    <t>Glass, Tetra, Bag-in-Box, Tetra &lt; = 630ml</t>
  </si>
  <si>
    <t>Glass, Tetra, Bag-in-Box, Tetra &gt; 630ml</t>
  </si>
  <si>
    <t>Cans (Aluminum or Steel) &lt; = 1000ml</t>
  </si>
  <si>
    <t>Cans (Aluminum or Steel) &gt; 1000ml</t>
  </si>
  <si>
    <t>Kegs - TBS Customer Deposit</t>
  </si>
  <si>
    <t xml:space="preserve">Licensee </t>
  </si>
  <si>
    <t>Discount</t>
  </si>
  <si>
    <t>Delivery</t>
  </si>
  <si>
    <t xml:space="preserve">Refillable </t>
  </si>
  <si>
    <t>Direct Delivery/TBS</t>
  </si>
  <si>
    <t>Wine Duty</t>
  </si>
  <si>
    <t>7.1%-13.7%</t>
  </si>
  <si>
    <t>13.8%-14.9%</t>
  </si>
  <si>
    <t>&gt;14.9%</t>
  </si>
  <si>
    <t>Sake Duty</t>
  </si>
  <si>
    <t>&lt;=13.6</t>
  </si>
  <si>
    <t>13.7-14.8</t>
  </si>
  <si>
    <t>14.9-15.8</t>
  </si>
  <si>
    <t>15.9-16.8</t>
  </si>
  <si>
    <t>16.9-17.8</t>
  </si>
  <si>
    <t>17.9-18.8</t>
  </si>
  <si>
    <t>18.9-19.8</t>
  </si>
  <si>
    <t>19.9-20.8</t>
  </si>
  <si>
    <t>20.9-21.9</t>
  </si>
  <si>
    <t>21.8-22.9</t>
  </si>
  <si>
    <t>22.9 and up</t>
  </si>
  <si>
    <t>Spirit Duty</t>
  </si>
  <si>
    <t>Per Litre</t>
  </si>
  <si>
    <t>US</t>
  </si>
  <si>
    <t>Vodka, Liqueurs, and Other</t>
  </si>
  <si>
    <t>Low Alc/RTD, Spirit and Wine Coolers</t>
  </si>
  <si>
    <t>COSD</t>
  </si>
  <si>
    <t>PRODUCT TYPE</t>
  </si>
  <si>
    <t>TRADE DEAL</t>
  </si>
  <si>
    <t>REGION</t>
  </si>
  <si>
    <t>LOOKUP VALUE</t>
  </si>
  <si>
    <t>DUTY RATE</t>
  </si>
  <si>
    <t>CUSMA</t>
  </si>
  <si>
    <t>Still CiderDomestic</t>
  </si>
  <si>
    <t>Still CiderCUSMA</t>
  </si>
  <si>
    <t>Still CiderEU/CETA</t>
  </si>
  <si>
    <t>Still CiderCPTPP</t>
  </si>
  <si>
    <t>Still CiderOther</t>
  </si>
  <si>
    <t>Sparkling CiderDomestic</t>
  </si>
  <si>
    <t>Sparkling CiderCUSMA</t>
  </si>
  <si>
    <t>Sparkling CiderEU/CETA</t>
  </si>
  <si>
    <t>Sparkling CiderCPTPP</t>
  </si>
  <si>
    <t>Sparkling CiderOther</t>
  </si>
  <si>
    <t>Flavoured Beer</t>
  </si>
  <si>
    <t>Contact Information &amp; Helpful Links</t>
  </si>
  <si>
    <t>Pricing Inquiries</t>
  </si>
  <si>
    <t>pricing@lcbo.com</t>
  </si>
  <si>
    <t>Freight Rate Inquiry</t>
  </si>
  <si>
    <t>freightrate.inquiry@lcbo.com</t>
  </si>
  <si>
    <t xml:space="preserve">origin.certificates@lcbo.com </t>
  </si>
  <si>
    <t xml:space="preserve">Customs Department </t>
  </si>
  <si>
    <t>Customs.Department@lcbo.com</t>
  </si>
  <si>
    <t>Customs Free Trade Agreement (FTA) hub - Forms and Resurces</t>
  </si>
  <si>
    <t>FTA Resource Hub</t>
  </si>
  <si>
    <t>Links to Standard Freight Rates, Exchange Rates, MRP Lists &amp; other useful resources</t>
  </si>
  <si>
    <t>Doing Business with LCBO</t>
  </si>
  <si>
    <t>New Item pricing and set up - please contact the appropriate category team for more details on this process</t>
  </si>
  <si>
    <t>SparklingNCUSMA</t>
  </si>
  <si>
    <t>SakeNCUSMA</t>
  </si>
  <si>
    <t>FortifiedNCUSMA</t>
  </si>
  <si>
    <t>Fortified &gt;= 20.1%NCUSMA</t>
  </si>
  <si>
    <t>SparklingNEU/CETA</t>
  </si>
  <si>
    <t>SakeNEU/CETA</t>
  </si>
  <si>
    <t>FortifiedNEU/CETA</t>
  </si>
  <si>
    <t>Fortified &gt;= 20.1%NEU/CETA</t>
  </si>
  <si>
    <t>SparklingNCPTPP</t>
  </si>
  <si>
    <t>SakeNCPTPP</t>
  </si>
  <si>
    <t>FortifiedNCPTPP</t>
  </si>
  <si>
    <t>Fortified &gt;= 20.1%NCPTPP</t>
  </si>
  <si>
    <t>SparklingNOther</t>
  </si>
  <si>
    <t>SakeNOther</t>
  </si>
  <si>
    <t>FortifiedNOther</t>
  </si>
  <si>
    <t>Fortified &gt;= 20.1%NOther</t>
  </si>
  <si>
    <t>SparklingNDomestic</t>
  </si>
  <si>
    <t>SakeNDomestic</t>
  </si>
  <si>
    <t>FortifiedNDomestic</t>
  </si>
  <si>
    <t>Fortified &gt;= 20.1%NDomestic</t>
  </si>
  <si>
    <t>SparklingYCUSMA</t>
  </si>
  <si>
    <t>SakeYCUSMA</t>
  </si>
  <si>
    <t>FortifiedYCUSMA</t>
  </si>
  <si>
    <t>Fortified &gt;= 20.1%YCUSMA</t>
  </si>
  <si>
    <t>SparklingYEU/CETA</t>
  </si>
  <si>
    <t>SakeYEU/CETA</t>
  </si>
  <si>
    <t>FortifiedYEU/CETA</t>
  </si>
  <si>
    <t>Fortified &gt;= 20.1%YEU/CETA</t>
  </si>
  <si>
    <t>SparklingYCPTPP</t>
  </si>
  <si>
    <t>SakeYCPTPP</t>
  </si>
  <si>
    <t>FortifiedYCPTPP</t>
  </si>
  <si>
    <t>Fortified &gt;= 20.1%YCPTPP</t>
  </si>
  <si>
    <t>SparklingYOther</t>
  </si>
  <si>
    <t>SakeYOther</t>
  </si>
  <si>
    <t>FortifiedYOther</t>
  </si>
  <si>
    <t>Fortified &gt;= 20.1%YOther</t>
  </si>
  <si>
    <t>SparklingYDomestic</t>
  </si>
  <si>
    <t>SakeYDomestic</t>
  </si>
  <si>
    <t>FortifiedYDomestic</t>
  </si>
  <si>
    <t>Fortified &gt;= 20.1%YDomestic</t>
  </si>
  <si>
    <t>Still CiderYDomestic</t>
  </si>
  <si>
    <t>Still CiderYCUSMA</t>
  </si>
  <si>
    <t>Still CiderYEU/CETA</t>
  </si>
  <si>
    <t>Still CiderYCPTPP</t>
  </si>
  <si>
    <t>Still CiderYOther</t>
  </si>
  <si>
    <t>Sparkling CiderYDomestic</t>
  </si>
  <si>
    <t>Sparkling CiderYCUSMA</t>
  </si>
  <si>
    <t>Sparkling CiderYEU/CETA</t>
  </si>
  <si>
    <t>Sparkling CiderYCPTPP</t>
  </si>
  <si>
    <t>Sparkling CiderYOther</t>
  </si>
  <si>
    <t>Still CiderNDomestic</t>
  </si>
  <si>
    <t>Still CiderNCUSMA</t>
  </si>
  <si>
    <t>Still CiderNEU/CETA</t>
  </si>
  <si>
    <t>Still CiderNCPTPP</t>
  </si>
  <si>
    <t>Still CiderNOther</t>
  </si>
  <si>
    <t>Sparkling CiderNDomestic</t>
  </si>
  <si>
    <t>Sparkling CiderNCUSMA</t>
  </si>
  <si>
    <t>Sparkling CiderNEU/CETA</t>
  </si>
  <si>
    <t>Sparkling CiderNCPTPP</t>
  </si>
  <si>
    <t>Sparkling CiderNOther</t>
  </si>
  <si>
    <t>Flavoured BeerNDomestic</t>
  </si>
  <si>
    <t>Flavoured BeerNCUSMA</t>
  </si>
  <si>
    <t>Flavoured BeerNEU/CETA</t>
  </si>
  <si>
    <t>Flavoured BeerNCPTPP</t>
  </si>
  <si>
    <t>Flavoured BeerNOther</t>
  </si>
  <si>
    <t>Flavoured BeerYDomestic</t>
  </si>
  <si>
    <t>Flavoured BeerYCUSMA</t>
  </si>
  <si>
    <t>Flavoured BeerYEU/CETA</t>
  </si>
  <si>
    <t>Flavoured BeerYCPTPP</t>
  </si>
  <si>
    <t>Flavoured BeerYOther</t>
  </si>
  <si>
    <t>Excise/Duty</t>
  </si>
  <si>
    <t>Quote Submission Forms</t>
  </si>
  <si>
    <t>Comments/Notes</t>
  </si>
  <si>
    <t>Check Mark Up</t>
  </si>
  <si>
    <r>
      <rPr>
        <b/>
        <sz val="11"/>
        <rFont val="Calibri"/>
        <family val="2"/>
        <scheme val="minor"/>
      </rPr>
      <t xml:space="preserve">Actual Retail: </t>
    </r>
    <r>
      <rPr>
        <sz val="11"/>
        <rFont val="Calibri"/>
        <family val="2"/>
        <scheme val="minor"/>
      </rPr>
      <t xml:space="preserve">             Basic Price</t>
    </r>
  </si>
  <si>
    <t>Excise COSD Effective April 1 2021 | Doing Business with LCBO</t>
  </si>
  <si>
    <t>List of countries under regions of origin used for determining COSD rates</t>
  </si>
  <si>
    <r>
      <rPr>
        <b/>
        <sz val="11"/>
        <rFont val="Calibri"/>
        <family val="2"/>
        <scheme val="minor"/>
      </rPr>
      <t xml:space="preserve">Rounded Retail: </t>
    </r>
    <r>
      <rPr>
        <sz val="11"/>
        <rFont val="Calibri"/>
        <family val="2"/>
        <scheme val="minor"/>
      </rPr>
      <t xml:space="preserve">         Basic Price</t>
    </r>
  </si>
  <si>
    <t>Check UnRounded Retail</t>
  </si>
  <si>
    <t>CUFTA</t>
  </si>
  <si>
    <t>Ukraine</t>
  </si>
  <si>
    <t>SparklingNCUFTA</t>
  </si>
  <si>
    <t>SakeNCUFTA</t>
  </si>
  <si>
    <t>FortifiedNCUFTA</t>
  </si>
  <si>
    <t>Fortified &gt;= 20.1%NCUFTA</t>
  </si>
  <si>
    <t>Still CiderYCUFTA</t>
  </si>
  <si>
    <t>Sparkling CiderYCUFTA</t>
  </si>
  <si>
    <t>Still CiderNCUFTA</t>
  </si>
  <si>
    <t>Sparkling CiderNCUFTA</t>
  </si>
  <si>
    <t>Flavoured BeerNCUFTA</t>
  </si>
  <si>
    <t>Flavoured BeerYCUFTA</t>
  </si>
  <si>
    <t>SparklingYCUFTA</t>
  </si>
  <si>
    <t>SakeYCUFTA</t>
  </si>
  <si>
    <t>FortifiedYCUFTA</t>
  </si>
  <si>
    <t>Fortified &gt;= 20.1%YCUFTA</t>
  </si>
  <si>
    <t>https://www.canada.ca/en/revenue-agency/services/forms-publications/publications/edrates/excise-duty-rates.html</t>
  </si>
  <si>
    <t>Excise Rates</t>
  </si>
  <si>
    <t>Container Deposit Rates</t>
  </si>
  <si>
    <t>https://www.ontario.ca/laws/regulation/210745#BK18</t>
  </si>
  <si>
    <t>KEG Container Type</t>
  </si>
  <si>
    <t>Non-Refillable</t>
  </si>
  <si>
    <t>Inbound Freight Rate</t>
  </si>
  <si>
    <t>Return Freight Rate</t>
  </si>
  <si>
    <t>Return Freight</t>
  </si>
  <si>
    <t>For products listed at TBS, the supplier is required to set the licensee price for beer which can be higher or lower than the home consumer price, so long as it meets the minimum retail price</t>
  </si>
  <si>
    <t>Inbound Freight</t>
  </si>
  <si>
    <t>TBS Container Deposit</t>
  </si>
  <si>
    <t>TBS Purchase Price</t>
  </si>
  <si>
    <t>TBS FINAL RETAIL</t>
  </si>
  <si>
    <t>Final CONSUMER Retail Price</t>
  </si>
  <si>
    <t>KEG Country of Origin</t>
  </si>
  <si>
    <t>USA/Mexico</t>
  </si>
  <si>
    <t>Origin</t>
  </si>
  <si>
    <t>In Store COS (case)</t>
  </si>
  <si>
    <t>Out Store COSE (case)</t>
  </si>
  <si>
    <t>Levy</t>
  </si>
  <si>
    <t>Eviron</t>
  </si>
  <si>
    <t>Dep</t>
  </si>
  <si>
    <t>Basic Price Case</t>
  </si>
  <si>
    <t>Basic Price Bottle</t>
  </si>
  <si>
    <t>Maximize Quote</t>
  </si>
  <si>
    <t>Freight</t>
  </si>
  <si>
    <t>Rate Effective April 1, 2025</t>
  </si>
  <si>
    <t>Rate effective April 1, 2025</t>
  </si>
  <si>
    <t>https://www.canada.ca/en/revenue-agency/services/forms-publications/publications/edrates/excise-duty-rates.html#Excise_duty_on_wine</t>
  </si>
  <si>
    <t>Wine Coolers =&gt;7.2%</t>
  </si>
  <si>
    <t>This include wine coolers - flavoured wine</t>
  </si>
  <si>
    <t>Cider mark up is same for Kegs</t>
  </si>
  <si>
    <t>This is for =&lt;7.1% includes Wine, Sparkling and Crackling</t>
  </si>
  <si>
    <t>Markup Table as of August 1, 2025</t>
  </si>
  <si>
    <t>Beer Basic Fee as of August 1, 2025</t>
  </si>
  <si>
    <t>Spirit Cooler =&lt;7.1%</t>
  </si>
  <si>
    <t>Wine Coolers=&lt;7.1%</t>
  </si>
  <si>
    <t>Low Alc/ RTD =7.2%to17%</t>
  </si>
  <si>
    <t>TBD if this include wine coolers - flavoured wine</t>
  </si>
  <si>
    <t>TBD if this will also include WINE - Flavoured Wine</t>
  </si>
  <si>
    <t>Wine Cream Flavoured</t>
  </si>
  <si>
    <t>Wine =&lt;7.1%</t>
  </si>
  <si>
    <t>Wine =&gt;7.2%</t>
  </si>
  <si>
    <t>Wine =&gt;7.2%NCUSMA</t>
  </si>
  <si>
    <t>Wine =&lt;7.1%NCUSMA</t>
  </si>
  <si>
    <t>Wine Cream FlavouredNCUSMA</t>
  </si>
  <si>
    <t>Wine =&gt;7.2%NEU/CETA</t>
  </si>
  <si>
    <t>Wine =&lt;7.1%NEU/CETA</t>
  </si>
  <si>
    <t>Wine Cream FlavouredNEU/CETA</t>
  </si>
  <si>
    <t>Wine =&gt;7.2%NCPTPP</t>
  </si>
  <si>
    <t>Wine =&lt;7.1%NCPTPP</t>
  </si>
  <si>
    <t>Wine =&lt;7.1%NCUFTA</t>
  </si>
  <si>
    <t>Wine =&lt;7.1%NOther</t>
  </si>
  <si>
    <t>Wine =&lt;7.1%NDomestic</t>
  </si>
  <si>
    <t>Wine =&lt;7.1%YCUSMA</t>
  </si>
  <si>
    <t>Wine =&lt;7.1%YEU/CETA</t>
  </si>
  <si>
    <t>Wine =&lt;7.1%YCPTPP</t>
  </si>
  <si>
    <t>Wine =&lt;7.1%YOther</t>
  </si>
  <si>
    <t>Wine =&lt;7.1%YCUFTA</t>
  </si>
  <si>
    <t>Wine =&lt;7.1%YDomestic</t>
  </si>
  <si>
    <t>Wine Cream FlavouredNCPTPP</t>
  </si>
  <si>
    <t>Wine Cream FlavouredNCUFTA</t>
  </si>
  <si>
    <t>Wine Cream FlavouredNOther</t>
  </si>
  <si>
    <t>Wine Cream FlavouredNDomestic</t>
  </si>
  <si>
    <t>Wine Cream FlavouredYCUSMA</t>
  </si>
  <si>
    <t>Wine Cream FlavouredYEU/CETA</t>
  </si>
  <si>
    <t>Wine Cream FlavouredYCPTPP</t>
  </si>
  <si>
    <t>Wine Cream FlavouredYOther</t>
  </si>
  <si>
    <t>Wine Cream FlavouredYCUFTA</t>
  </si>
  <si>
    <t>Wine Cream FlavouredYDomestic</t>
  </si>
  <si>
    <t>Wine =&gt;7.2%NCUFTA</t>
  </si>
  <si>
    <t>Wine =&gt;7.2%NOther</t>
  </si>
  <si>
    <t>Wine =&gt;7.2%NDomestic</t>
  </si>
  <si>
    <t>Wine =&gt;7.2%YCUSMA</t>
  </si>
  <si>
    <r>
      <rPr>
        <b/>
        <sz val="12"/>
        <rFont val="Calibri"/>
        <family val="2"/>
        <scheme val="minor"/>
      </rPr>
      <t>Wine =&gt;7.2%</t>
    </r>
    <r>
      <rPr>
        <sz val="12"/>
        <rFont val="Calibri"/>
        <family val="2"/>
        <scheme val="minor"/>
      </rPr>
      <t>YEU/CETA</t>
    </r>
  </si>
  <si>
    <t>Wine =&gt;7.2%YCPTPP</t>
  </si>
  <si>
    <t>Wine =&gt;7.2%YOther</t>
  </si>
  <si>
    <t>Wine =&gt;7.2%YCUFTA</t>
  </si>
  <si>
    <t>Wine =&gt;7.2%YDomestic</t>
  </si>
  <si>
    <t>Wine Coolers=&lt;7.1%YDomestic</t>
  </si>
  <si>
    <t>Wine Coolers=&lt;7.1%YCUSMA</t>
  </si>
  <si>
    <t>Wine Coolers=&lt;7.1%YEU/CETA</t>
  </si>
  <si>
    <t>Wine Coolers=&lt;7.1%YCPTPP</t>
  </si>
  <si>
    <t>Wine Coolers=&lt;7.1%YCUFTA</t>
  </si>
  <si>
    <t>Wine Coolers=&lt;7.1%YOther</t>
  </si>
  <si>
    <t>Wine Coolers =&gt;7.2%YDomestic</t>
  </si>
  <si>
    <t>Wine Coolers =&gt;7.2%YCUSMA</t>
  </si>
  <si>
    <t>Wine Coolers =&gt;7.2%YEU/CETA</t>
  </si>
  <si>
    <t>Wine Coolers =&gt;7.2%YCPTPP</t>
  </si>
  <si>
    <t>Wine Coolers =&gt;7.2%YCUFTA</t>
  </si>
  <si>
    <t>Wine Coolers =&gt;7.2%YOther</t>
  </si>
  <si>
    <t>Spirit Cooler =&lt;7.1%YDomestic</t>
  </si>
  <si>
    <t>Spirit Cooler =&lt;7.1%YCUSMA</t>
  </si>
  <si>
    <t>Spirit Cooler =&lt;7.1%YEU/CETA</t>
  </si>
  <si>
    <t>Spirit Cooler =&lt;7.1%YCPTPP</t>
  </si>
  <si>
    <t>Spirit Cooler =&lt;7.1%YCUFTA</t>
  </si>
  <si>
    <t>Spirit Cooler =&lt;7.1%YOther</t>
  </si>
  <si>
    <t>Low Alc/ RTD =7.2%to17%YDomestic</t>
  </si>
  <si>
    <t>Low Alc/ RTD =7.2%to17%YCUSMA</t>
  </si>
  <si>
    <t>Low Alc/ RTD =7.2%to17%YEU/CETA</t>
  </si>
  <si>
    <t>Low Alc/ RTD =7.2%to17%YCPTPP</t>
  </si>
  <si>
    <t>Low Alc/ RTD =7.2%to17%YCUFTA</t>
  </si>
  <si>
    <t>Low Alc/ RTD =7.2%to17%YOther</t>
  </si>
  <si>
    <t>Wine Coolers=&lt;7.1%NDomestic</t>
  </si>
  <si>
    <t>Wine Coolers=&lt;7.1%NCUSMA</t>
  </si>
  <si>
    <t>Wine Coolers=&lt;7.1%NEU/CETA</t>
  </si>
  <si>
    <t>Wine Coolers=&lt;7.1%NCPTPP</t>
  </si>
  <si>
    <t>Wine Coolers=&lt;7.1%NCUFTA</t>
  </si>
  <si>
    <t>Wine Coolers=&lt;7.1%NOther</t>
  </si>
  <si>
    <t>Spirit Cooler =&lt;7.1%NDomestic</t>
  </si>
  <si>
    <t>Spirit Cooler =&lt;7.1%NCUSMA</t>
  </si>
  <si>
    <t>Spirit Cooler =&lt;7.1%NEU/CETA</t>
  </si>
  <si>
    <t>Spirit Cooler =&lt;7.1%NCPTPP</t>
  </si>
  <si>
    <t>Spirit Cooler =&lt;7.1%NCUFTA</t>
  </si>
  <si>
    <t>Spirit Cooler =&lt;7.1%NOther</t>
  </si>
  <si>
    <t>Low Alc/ RTD =7.2%to17%NDomestic</t>
  </si>
  <si>
    <t>Low Alc/ RTD =7.2%to17%NCUSMA</t>
  </si>
  <si>
    <t>Low Alc/ RTD =7.2%to17%NEU/CETA</t>
  </si>
  <si>
    <t>Low Alc/ RTD =7.2%to17%NCPTPP</t>
  </si>
  <si>
    <t>Low Alc/ RTD =7.2%to17%NCUFTA</t>
  </si>
  <si>
    <t>Low Alc/ RTD =7.2%to17%NOther</t>
  </si>
  <si>
    <t>Wine Coolers=&lt;7.1%Domestic</t>
  </si>
  <si>
    <t>Wine Coolers=&lt;7.1%CUSMA</t>
  </si>
  <si>
    <t>Wine Coolers=&lt;7.1%EU/CETA</t>
  </si>
  <si>
    <t>Wine Coolers=&lt;7.1%CPTPP</t>
  </si>
  <si>
    <t>Wine Coolers=&lt;7.1%Other</t>
  </si>
  <si>
    <t>Wine Coolers =&gt;7.2%Domestic</t>
  </si>
  <si>
    <t>Wine Coolers =&gt;7.2%CUSMA</t>
  </si>
  <si>
    <t>Wine Coolers =&gt;7.2%EU/CETA</t>
  </si>
  <si>
    <t>Wine Coolers =&gt;7.2%CPTPP</t>
  </si>
  <si>
    <t>Wine Coolers =&gt;7.2%Other</t>
  </si>
  <si>
    <t>Spirit Cooler =&lt;7.1%Domestic</t>
  </si>
  <si>
    <t>Spirit Cooler =&lt;7.1%CUSMA</t>
  </si>
  <si>
    <t>Spirit Cooler =&lt;7.1%EU/CETA</t>
  </si>
  <si>
    <t>Spirit Cooler =&lt;7.1%CPTPP</t>
  </si>
  <si>
    <t>Spirit Cooler =&lt;7.1%Other</t>
  </si>
  <si>
    <t>Low Alc/ RTD =7.2%to17%Domestic</t>
  </si>
  <si>
    <t>Low Alc/ RTD =7.2%to17%CUSMA</t>
  </si>
  <si>
    <t>Low Alc/ RTD =7.2%to17%EU/CETA</t>
  </si>
  <si>
    <t>Low Alc/ RTD =7.2%to17%CPTPP</t>
  </si>
  <si>
    <t>Low Alc/ RTD =7.2%to17%Other</t>
  </si>
  <si>
    <t>Supplier Quote</t>
  </si>
  <si>
    <t>CALCULATED SUPPLIER QUOTE</t>
  </si>
  <si>
    <t>Domestic (excise paid)</t>
  </si>
  <si>
    <t>Certificate of Origins Submission and Inquiries</t>
  </si>
  <si>
    <t>Quote Change Schedule</t>
  </si>
  <si>
    <t>Price Estimate Tool</t>
  </si>
  <si>
    <t>Price Estimation Tool</t>
  </si>
  <si>
    <r>
      <t>Product Category</t>
    </r>
    <r>
      <rPr>
        <sz val="11"/>
        <color rgb="FF000000"/>
        <rFont val="Arial"/>
        <family val="2"/>
      </rPr>
      <t> </t>
    </r>
    <r>
      <rPr>
        <sz val="11"/>
        <color rgb="FF000000"/>
        <rFont val="Aptos"/>
        <family val="2"/>
      </rPr>
      <t> </t>
    </r>
  </si>
  <si>
    <r>
      <t>Mark-up</t>
    </r>
    <r>
      <rPr>
        <sz val="11"/>
        <color rgb="FF000000"/>
        <rFont val="Arial"/>
        <family val="2"/>
      </rPr>
      <t> </t>
    </r>
    <r>
      <rPr>
        <sz val="11"/>
        <color rgb="FF000000"/>
        <rFont val="Aptos"/>
        <family val="2"/>
      </rPr>
      <t> </t>
    </r>
  </si>
  <si>
    <r>
      <t>Wine</t>
    </r>
    <r>
      <rPr>
        <sz val="11"/>
        <rFont val="Arial"/>
        <family val="2"/>
      </rPr>
      <t> </t>
    </r>
    <r>
      <rPr>
        <sz val="11"/>
        <rFont val="Aptos"/>
        <family val="2"/>
      </rPr>
      <t> </t>
    </r>
  </si>
  <si>
    <t>7.1% or below ABV </t>
  </si>
  <si>
    <t>68% </t>
  </si>
  <si>
    <t>7.2% to 18% ABV </t>
  </si>
  <si>
    <t>73% </t>
  </si>
  <si>
    <t>18.1% or above ABV </t>
  </si>
  <si>
    <t>78% </t>
  </si>
  <si>
    <r>
      <t>Cider</t>
    </r>
    <r>
      <rPr>
        <sz val="11"/>
        <rFont val="Arial"/>
        <family val="2"/>
      </rPr>
      <t> </t>
    </r>
    <r>
      <rPr>
        <sz val="11"/>
        <rFont val="Aptos"/>
        <family val="2"/>
      </rPr>
      <t> </t>
    </r>
  </si>
  <si>
    <t>25% </t>
  </si>
  <si>
    <t>30% </t>
  </si>
  <si>
    <t>35% </t>
  </si>
  <si>
    <r>
      <t>Spirits</t>
    </r>
    <r>
      <rPr>
        <sz val="11"/>
        <rFont val="Arial"/>
        <family val="2"/>
      </rPr>
      <t> </t>
    </r>
    <r>
      <rPr>
        <sz val="11"/>
        <rFont val="Aptos"/>
        <family val="2"/>
      </rPr>
      <t> </t>
    </r>
  </si>
  <si>
    <t>95% </t>
  </si>
  <si>
    <t>105% </t>
  </si>
  <si>
    <t>115% </t>
  </si>
  <si>
    <r>
      <t>Ready-to-drink</t>
    </r>
    <r>
      <rPr>
        <sz val="11"/>
        <rFont val="Arial"/>
        <family val="2"/>
      </rPr>
      <t> </t>
    </r>
    <r>
      <rPr>
        <sz val="11"/>
        <rFont val="Aptos"/>
        <family val="2"/>
      </rPr>
      <t> </t>
    </r>
  </si>
  <si>
    <t>46% </t>
  </si>
  <si>
    <t>60% </t>
  </si>
  <si>
    <t>100% </t>
  </si>
  <si>
    <r>
      <t>Beer</t>
    </r>
    <r>
      <rPr>
        <sz val="11"/>
        <rFont val="Arial"/>
        <family val="2"/>
      </rPr>
      <t>  </t>
    </r>
    <r>
      <rPr>
        <sz val="11"/>
        <rFont val="Aptos"/>
        <family val="2"/>
      </rPr>
      <t> </t>
    </r>
  </si>
  <si>
    <t>Manufacturer – draught </t>
  </si>
  <si>
    <t>$1.27/ litre </t>
  </si>
  <si>
    <t>Manufacturer – packaged </t>
  </si>
  <si>
    <t>$1.54/litre </t>
  </si>
  <si>
    <t>Microbrewer – draught </t>
  </si>
  <si>
    <t>$0.61/litre </t>
  </si>
  <si>
    <t>Microbrewer – packaged </t>
  </si>
  <si>
    <t>$0.67/litre </t>
  </si>
  <si>
    <t>WHOLESALE RATES</t>
  </si>
  <si>
    <t>Cider</t>
  </si>
  <si>
    <t>Ready To Drink</t>
  </si>
  <si>
    <t>Retail Price Estimate Tool produces Estimates Only</t>
  </si>
  <si>
    <t>Gift Wine =&gt;7.2%</t>
  </si>
  <si>
    <t>Gift Wine =&lt;7.1%</t>
  </si>
  <si>
    <t>Gift Fortified</t>
  </si>
  <si>
    <t>Gift Fortified &gt;= 20.1%</t>
  </si>
  <si>
    <t>Gift Sake</t>
  </si>
  <si>
    <t>Gift Sparkling</t>
  </si>
  <si>
    <t>Gift Wine Cream Flavoured</t>
  </si>
  <si>
    <t>Licensee/Wholesale Pricing</t>
  </si>
  <si>
    <t>Basic Price</t>
  </si>
  <si>
    <t>10% Discount</t>
  </si>
  <si>
    <t>Deposit</t>
  </si>
  <si>
    <t>Discounted Basic</t>
  </si>
  <si>
    <t>Licensee/Wholesale Price</t>
  </si>
  <si>
    <t>Licensee/Wholesale Discount applicable until April 1, 2026</t>
  </si>
  <si>
    <t>Licensee/Wholesale price pre-April 1</t>
  </si>
  <si>
    <t>Total (per btl)</t>
  </si>
  <si>
    <t>Total (per case)</t>
  </si>
  <si>
    <t>Supplier Quote per unit</t>
  </si>
  <si>
    <t xml:space="preserve">Rounded Retail:        </t>
  </si>
  <si>
    <t>Basic Price (rounded)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</si>
</sst>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164" formatCode="&quot;$&quot;#,##0.00_);\(&quot;$&quot;#,##0.00\)"/>
    <numFmt numFmtId="165" formatCode="_(&quot;$&quot;* #,##0.00_);_(&quot;$&quot;* \(#,##0.00\);_(&quot;$&quot;* &quot;-&quot;??_);_(@_)"/>
    <numFmt numFmtId="166" formatCode="_(* #,##0.00_);_(* \(#,##0.00\);_(* &quot;-&quot;??_);_(@_)"/>
    <numFmt numFmtId="167" formatCode="General_)"/>
    <numFmt numFmtId="168" formatCode="dd\-mmm\-yy_)"/>
    <numFmt numFmtId="169" formatCode="hh:mm\ AM/PM_)"/>
    <numFmt numFmtId="170" formatCode="0.000_)"/>
    <numFmt numFmtId="171" formatCode="0_)"/>
    <numFmt numFmtId="172" formatCode="0.0%"/>
    <numFmt numFmtId="173" formatCode="0.000000_)"/>
    <numFmt numFmtId="174" formatCode="0.0000_)"/>
    <numFmt numFmtId="175" formatCode="0.00_)"/>
    <numFmt numFmtId="176" formatCode="&quot;$&quot;#,##0.0000_);\(&quot;$&quot;#,##0.0000\)"/>
    <numFmt numFmtId="177" formatCode="0.0000%"/>
    <numFmt numFmtId="178" formatCode="&quot;$&quot;#,##0.00"/>
    <numFmt numFmtId="179" formatCode="[$$-1009]#,##0.00"/>
    <numFmt numFmtId="180" formatCode="0.0000"/>
    <numFmt numFmtId="181" formatCode="0.000%"/>
    <numFmt numFmtId="182" formatCode="[$-409]mmmm\ d\,\ yyyy;@"/>
    <numFmt numFmtId="183" formatCode="#,##0.00;[Red]#,##0.00"/>
    <numFmt numFmtId="184" formatCode="00000"/>
    <numFmt numFmtId="185" formatCode="0.000"/>
    <numFmt numFmtId="186" formatCode="#,##0.0000_);\(#,##0.0000\)"/>
    <numFmt numFmtId="187" formatCode="[$$-1009]#,##0.00;\-[$$-1009]#,##0.00"/>
    <numFmt numFmtId="188" formatCode="&quot;$&quot;#,##0.0000"/>
    <numFmt numFmtId="189" formatCode="&quot;$&quot;#,##0.000_);\(&quot;$&quot;#,##0.000\)"/>
    <numFmt numFmtId="190" formatCode="0.00000_)"/>
    <numFmt numFmtId="191" formatCode="0.00000"/>
    <numFmt numFmtId="192" formatCode="0.00000%"/>
    <numFmt numFmtId="193" formatCode="_(* #,##0.0000_);_(* \(#,##0.0000\);_(* &quot;-&quot;??_);_(@_)"/>
    <numFmt numFmtId="194" formatCode="_(* #,##0.00000_);_(* \(#,##0.00000\);_(* &quot;-&quot;??_);_(@_)"/>
    <numFmt numFmtId="195" formatCode="_(* #,##0.000_);_(* \(#,##0.000\);_(* &quot;-&quot;??_);_(@_)"/>
    <numFmt numFmtId="196" formatCode="_(* #,##0.0000000000000000000000_);_(* \(#,##0.0000000000000000000000\);_(* &quot;-&quot;??_);_(@_)"/>
  </numFmts>
  <fonts count="54">
    <font>
      <sz val="12"/>
      <name val="Helv"/>
    </font>
    <font>
      <sz val="11"/>
      <color theme="1"/>
      <name val="Calibri"/>
      <family val="2"/>
      <scheme val="minor"/>
    </font>
    <font>
      <sz val="10"/>
      <name val="Arial"/>
      <family val="2"/>
    </font>
    <font>
      <sz val="11"/>
      <name val="Calibri"/>
      <family val="2"/>
      <scheme val="minor"/>
    </font>
    <font>
      <b/>
      <sz val="11"/>
      <name val="Calibri"/>
      <family val="2"/>
      <scheme val="minor"/>
    </font>
    <font>
      <sz val="11"/>
      <color indexed="20"/>
      <name val="Calibri"/>
      <family val="2"/>
      <scheme val="minor"/>
    </font>
    <font>
      <u/>
      <sz val="11"/>
      <name val="Calibri"/>
      <family val="2"/>
      <scheme val="minor"/>
    </font>
    <font>
      <b/>
      <sz val="11"/>
      <color indexed="20"/>
      <name val="Calibri"/>
      <family val="2"/>
      <scheme val="minor"/>
    </font>
    <font>
      <b/>
      <i/>
      <sz val="11"/>
      <name val="Calibri"/>
      <family val="2"/>
      <scheme val="minor"/>
    </font>
    <font>
      <sz val="12"/>
      <name val="Calibri"/>
      <family val="2"/>
      <scheme val="minor"/>
    </font>
    <font>
      <u/>
      <sz val="10"/>
      <color theme="10"/>
      <name val="Arial MT"/>
    </font>
    <font>
      <sz val="10"/>
      <name val="Calibri"/>
      <family val="2"/>
      <scheme val="minor"/>
    </font>
    <font>
      <b/>
      <sz val="9"/>
      <color indexed="81"/>
      <name val="Tahoma"/>
      <family val="2"/>
    </font>
    <font>
      <b/>
      <sz val="10"/>
      <color theme="0"/>
      <name val="Arial MT"/>
    </font>
    <font>
      <sz val="9"/>
      <color indexed="81"/>
      <name val="Tahoma"/>
      <family val="2"/>
    </font>
    <font>
      <b/>
      <sz val="16"/>
      <name val="Calibri"/>
      <family val="2"/>
      <scheme val="minor"/>
    </font>
    <font>
      <b/>
      <sz val="12"/>
      <name val="Calibri"/>
      <family val="2"/>
      <scheme val="minor"/>
    </font>
    <font>
      <u/>
      <sz val="10"/>
      <color theme="10"/>
      <name val="Arial"/>
      <family val="2"/>
    </font>
    <font>
      <sz val="12"/>
      <name val="Helv"/>
    </font>
    <font>
      <b/>
      <sz val="11"/>
      <color theme="3"/>
      <name val="Calibri"/>
      <family val="2"/>
      <scheme val="minor"/>
    </font>
    <font>
      <sz val="11"/>
      <color rgb="FFFF0000"/>
      <name val="Calibri"/>
      <family val="2"/>
      <scheme val="minor"/>
    </font>
    <font>
      <sz val="16"/>
      <name val="Helv"/>
    </font>
    <font>
      <sz val="14"/>
      <name val="Helv"/>
    </font>
    <font>
      <b/>
      <sz val="12"/>
      <name val="Helv"/>
    </font>
    <font>
      <b/>
      <sz val="11"/>
      <color rgb="FFC00000"/>
      <name val="Calibri"/>
      <family val="2"/>
      <scheme val="minor"/>
    </font>
    <font>
      <b/>
      <u/>
      <sz val="11"/>
      <name val="Calibri"/>
      <family val="2"/>
      <scheme val="minor"/>
    </font>
    <font>
      <b/>
      <sz val="16"/>
      <color rgb="FFFF0000"/>
      <name val="Calibri"/>
      <family val="2"/>
      <scheme val="minor"/>
    </font>
    <font>
      <sz val="10"/>
      <name val="Helv"/>
    </font>
    <font>
      <sz val="11"/>
      <color indexed="12"/>
      <name val="Calibri"/>
      <family val="2"/>
      <scheme val="minor"/>
    </font>
    <font>
      <b/>
      <sz val="14"/>
      <name val="Calibri"/>
      <family val="2"/>
      <scheme val="minor"/>
    </font>
    <font>
      <b/>
      <sz val="14"/>
      <color theme="0"/>
      <name val="Calibri"/>
      <family val="2"/>
      <scheme val="minor"/>
    </font>
    <font>
      <b/>
      <sz val="11"/>
      <color rgb="FF7030A0"/>
      <name val="Calibri"/>
      <family val="2"/>
      <scheme val="minor"/>
    </font>
    <font>
      <sz val="12"/>
      <color theme="0"/>
      <name val="Helv"/>
    </font>
    <font>
      <b/>
      <sz val="12"/>
      <color theme="0"/>
      <name val="Helv"/>
    </font>
    <font>
      <sz val="16"/>
      <color theme="0"/>
      <name val="Helv"/>
    </font>
    <font>
      <sz val="11"/>
      <color indexed="81"/>
      <name val="Tahoma"/>
      <family val="2"/>
    </font>
    <font>
      <sz val="12"/>
      <color indexed="81"/>
      <name val="Tahoma"/>
      <family val="2"/>
    </font>
    <font>
      <b/>
      <u/>
      <sz val="11"/>
      <color indexed="81"/>
      <name val="Tahoma"/>
      <family val="2"/>
    </font>
    <font>
      <sz val="11"/>
      <color indexed="8"/>
      <name val="Calibri"/>
      <family val="2"/>
    </font>
    <font>
      <u/>
      <sz val="11"/>
      <color theme="10"/>
      <name val="Calibri"/>
      <family val="2"/>
    </font>
    <font>
      <sz val="12"/>
      <name val="Calibri"/>
      <family val="2"/>
    </font>
    <font>
      <b/>
      <sz val="11"/>
      <color theme="0"/>
      <name val="Calibri"/>
      <family val="2"/>
      <scheme val="minor"/>
    </font>
    <font>
      <b/>
      <sz val="11"/>
      <color indexed="81"/>
      <name val="Tahoma"/>
      <family val="2"/>
    </font>
    <font>
      <u/>
      <sz val="9"/>
      <color indexed="81"/>
      <name val="Tahoma"/>
      <family val="2"/>
    </font>
    <font>
      <sz val="11"/>
      <color rgb="FF000000"/>
      <name val="Calibri"/>
      <family val="2"/>
    </font>
    <font>
      <b/>
      <sz val="12"/>
      <color theme="1"/>
      <name val="Helv"/>
    </font>
    <font>
      <sz val="12"/>
      <color theme="1"/>
      <name val="Helv"/>
    </font>
    <font>
      <sz val="8"/>
      <name val="Helv"/>
    </font>
    <font>
      <sz val="11"/>
      <name val="Aptos"/>
      <family val="2"/>
    </font>
    <font>
      <b/>
      <sz val="11"/>
      <color rgb="FF000000"/>
      <name val="Aptos"/>
      <family val="2"/>
    </font>
    <font>
      <sz val="11"/>
      <color rgb="FF000000"/>
      <name val="Arial"/>
      <family val="2"/>
    </font>
    <font>
      <sz val="11"/>
      <color rgb="FF000000"/>
      <name val="Aptos"/>
      <family val="2"/>
    </font>
    <font>
      <sz val="11"/>
      <name val="Arial"/>
      <family val="2"/>
    </font>
    <font>
      <i/>
      <sz val="11"/>
      <name val="Calibri"/>
      <family val="2"/>
      <scheme val="minor"/>
    </font>
  </fonts>
  <fills count="21">
    <fill>
      <patternFill patternType="none"/>
    </fill>
    <fill>
      <patternFill patternType="gray125"/>
    </fill>
    <fill>
      <patternFill patternType="solid">
        <fgColor indexed="9"/>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00206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
      <patternFill patternType="solid">
        <fgColor rgb="FFDDDDDD"/>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rgb="FF00CC66"/>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8"/>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BFBFBF"/>
      </left>
      <right style="medium">
        <color rgb="FFBFBFBF"/>
      </right>
      <top style="medium">
        <color rgb="FFBFBFBF"/>
      </top>
      <bottom style="medium">
        <color rgb="FFBFBFBF"/>
      </bottom>
      <diagonal/>
    </border>
    <border>
      <left style="medium">
        <color rgb="FFBFBFBF"/>
      </left>
      <right style="medium">
        <color rgb="FFBFBFBF"/>
      </right>
      <top/>
      <bottom style="medium">
        <color rgb="FFBFBFBF"/>
      </bottom>
      <diagonal/>
    </border>
    <border>
      <left/>
      <right style="thin">
        <color indexed="64"/>
      </right>
      <top style="thin">
        <color indexed="64"/>
      </top>
      <bottom style="thin">
        <color indexed="64"/>
      </bottom>
      <diagonal/>
    </border>
    <border>
      <left/>
      <right style="medium">
        <color indexed="64"/>
      </right>
      <top style="medium">
        <color indexed="64"/>
      </top>
      <bottom style="medium">
        <color theme="0" tint="-4.9989318521683403E-2"/>
      </bottom>
      <diagonal/>
    </border>
    <border>
      <left/>
      <right style="medium">
        <color indexed="64"/>
      </right>
      <top style="medium">
        <color theme="0" tint="-4.9989318521683403E-2"/>
      </top>
      <bottom style="medium">
        <color theme="0" tint="-4.9989318521683403E-2"/>
      </bottom>
      <diagonal/>
    </border>
    <border>
      <left/>
      <right style="medium">
        <color indexed="64"/>
      </right>
      <top style="medium">
        <color theme="0" tint="-4.9989318521683403E-2"/>
      </top>
      <bottom style="medium">
        <color indexed="64"/>
      </bottom>
      <diagonal/>
    </border>
    <border>
      <left/>
      <right style="medium">
        <color indexed="64"/>
      </right>
      <top style="medium">
        <color indexed="64"/>
      </top>
      <bottom style="medium">
        <color theme="0"/>
      </bottom>
      <diagonal/>
    </border>
    <border>
      <left/>
      <right style="medium">
        <color indexed="64"/>
      </right>
      <top style="medium">
        <color theme="0"/>
      </top>
      <bottom style="medium">
        <color theme="0"/>
      </bottom>
      <diagonal/>
    </border>
    <border>
      <left/>
      <right style="medium">
        <color indexed="64"/>
      </right>
      <top style="medium">
        <color theme="0"/>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medium">
        <color indexed="64"/>
      </right>
      <top/>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medium">
        <color indexed="64"/>
      </right>
      <top/>
      <bottom style="thin">
        <color rgb="FF000000"/>
      </bottom>
      <diagonal/>
    </border>
    <border>
      <left/>
      <right style="medium">
        <color indexed="64"/>
      </right>
      <top/>
      <bottom style="thin">
        <color rgb="FF000000"/>
      </bottom>
      <diagonal/>
    </border>
    <border>
      <left/>
      <right style="thin">
        <color rgb="FF000000"/>
      </right>
      <top/>
      <bottom style="thin">
        <color rgb="FF000000"/>
      </bottom>
      <diagonal/>
    </border>
    <border>
      <left style="thin">
        <color rgb="FF000000"/>
      </left>
      <right style="medium">
        <color indexed="64"/>
      </right>
      <top style="medium">
        <color indexed="64"/>
      </top>
      <bottom/>
      <diagonal/>
    </border>
    <border>
      <left/>
      <right/>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s>
  <cellStyleXfs count="13">
    <xf numFmtId="167" fontId="0" fillId="0" borderId="0"/>
    <xf numFmtId="165" fontId="2" fillId="0" borderId="0" applyFont="0" applyFill="0" applyBorder="0" applyAlignment="0" applyProtection="0"/>
    <xf numFmtId="9" fontId="2" fillId="0" borderId="0" applyFont="0" applyFill="0" applyBorder="0" applyAlignment="0" applyProtection="0"/>
    <xf numFmtId="0" fontId="10" fillId="0" borderId="0" applyNumberFormat="0" applyFill="0" applyBorder="0" applyAlignment="0" applyProtection="0"/>
    <xf numFmtId="166" fontId="18" fillId="0" borderId="0" applyFont="0" applyFill="0" applyBorder="0" applyAlignment="0" applyProtection="0"/>
    <xf numFmtId="0" fontId="2" fillId="0" borderId="0"/>
    <xf numFmtId="166" fontId="2" fillId="0" borderId="0" applyFont="0" applyFill="0" applyBorder="0" applyAlignment="0" applyProtection="0"/>
    <xf numFmtId="0" fontId="1" fillId="0" borderId="0"/>
    <xf numFmtId="166" fontId="38" fillId="0" borderId="0" applyFont="0" applyFill="0" applyBorder="0" applyAlignment="0" applyProtection="0"/>
    <xf numFmtId="0" fontId="39" fillId="0" borderId="0" applyNumberFormat="0" applyFill="0" applyBorder="0" applyAlignment="0" applyProtection="0">
      <alignment vertical="top"/>
      <protection locked="0"/>
    </xf>
    <xf numFmtId="9" fontId="1" fillId="0" borderId="0" applyFont="0" applyFill="0" applyBorder="0" applyAlignment="0" applyProtection="0"/>
    <xf numFmtId="165" fontId="1" fillId="0" borderId="0" applyFont="0" applyFill="0" applyBorder="0" applyAlignment="0" applyProtection="0"/>
    <xf numFmtId="9" fontId="2" fillId="0" borderId="0" applyFont="0" applyFill="0" applyBorder="0" applyAlignment="0" applyProtection="0"/>
  </cellStyleXfs>
  <cellXfs count="584">
    <xf numFmtId="167" fontId="0" fillId="0" borderId="0" xfId="0"/>
    <xf numFmtId="167" fontId="3" fillId="2" borderId="0" xfId="0" applyFont="1" applyFill="1"/>
    <xf numFmtId="167" fontId="4" fillId="2" borderId="0" xfId="0" applyFont="1" applyFill="1" applyAlignment="1">
      <alignment horizontal="left"/>
    </xf>
    <xf numFmtId="167" fontId="4" fillId="2" borderId="0" xfId="0" applyFont="1" applyFill="1" applyAlignment="1">
      <alignment horizontal="center"/>
    </xf>
    <xf numFmtId="169" fontId="3" fillId="2" borderId="0" xfId="0" applyNumberFormat="1" applyFont="1" applyFill="1"/>
    <xf numFmtId="167" fontId="3" fillId="2" borderId="0" xfId="0" applyFont="1" applyFill="1" applyAlignment="1">
      <alignment horizontal="left"/>
    </xf>
    <xf numFmtId="167" fontId="3" fillId="2" borderId="0" xfId="0" applyFont="1" applyFill="1" applyAlignment="1">
      <alignment horizontal="right"/>
    </xf>
    <xf numFmtId="167" fontId="4" fillId="2" borderId="0" xfId="0" applyFont="1" applyFill="1"/>
    <xf numFmtId="174" fontId="3" fillId="2" borderId="0" xfId="0" applyNumberFormat="1" applyFont="1" applyFill="1"/>
    <xf numFmtId="164" fontId="3" fillId="2" borderId="0" xfId="0" applyNumberFormat="1" applyFont="1" applyFill="1"/>
    <xf numFmtId="180" fontId="3" fillId="2" borderId="0" xfId="0" applyNumberFormat="1" applyFont="1" applyFill="1"/>
    <xf numFmtId="176" fontId="3" fillId="2" borderId="0" xfId="0" applyNumberFormat="1" applyFont="1" applyFill="1"/>
    <xf numFmtId="165" fontId="3" fillId="2" borderId="0" xfId="1" applyFont="1" applyFill="1"/>
    <xf numFmtId="165" fontId="3" fillId="2" borderId="1" xfId="1" applyFont="1" applyFill="1" applyBorder="1"/>
    <xf numFmtId="175" fontId="3" fillId="2" borderId="0" xfId="0" applyNumberFormat="1" applyFont="1" applyFill="1"/>
    <xf numFmtId="167" fontId="5" fillId="2" borderId="0" xfId="0" applyFont="1" applyFill="1"/>
    <xf numFmtId="164" fontId="4" fillId="0" borderId="0" xfId="0" applyNumberFormat="1" applyFont="1"/>
    <xf numFmtId="167" fontId="6" fillId="2" borderId="0" xfId="0" applyFont="1" applyFill="1"/>
    <xf numFmtId="178" fontId="3" fillId="2" borderId="0" xfId="0" applyNumberFormat="1" applyFont="1" applyFill="1" applyAlignment="1">
      <alignment horizontal="center"/>
    </xf>
    <xf numFmtId="178" fontId="3" fillId="2" borderId="0" xfId="0" applyNumberFormat="1" applyFont="1" applyFill="1" applyAlignment="1">
      <alignment horizontal="right"/>
    </xf>
    <xf numFmtId="181" fontId="3" fillId="2" borderId="0" xfId="2" applyNumberFormat="1" applyFont="1" applyFill="1" applyAlignment="1">
      <alignment horizontal="right"/>
    </xf>
    <xf numFmtId="182" fontId="3" fillId="2" borderId="0" xfId="0" applyNumberFormat="1" applyFont="1" applyFill="1" applyAlignment="1">
      <alignment horizontal="left"/>
    </xf>
    <xf numFmtId="10" fontId="3" fillId="2" borderId="0" xfId="2" applyNumberFormat="1" applyFont="1" applyFill="1" applyAlignment="1">
      <alignment horizontal="left"/>
    </xf>
    <xf numFmtId="10" fontId="3" fillId="2" borderId="0" xfId="2" applyNumberFormat="1" applyFont="1" applyFill="1"/>
    <xf numFmtId="167" fontId="3" fillId="0" borderId="0" xfId="0" applyFont="1"/>
    <xf numFmtId="167" fontId="3" fillId="2" borderId="14" xfId="0" applyFont="1" applyFill="1" applyBorder="1"/>
    <xf numFmtId="167" fontId="8" fillId="2" borderId="0" xfId="0" applyFont="1" applyFill="1"/>
    <xf numFmtId="167" fontId="3" fillId="2" borderId="10" xfId="0" applyFont="1" applyFill="1" applyBorder="1"/>
    <xf numFmtId="167" fontId="3" fillId="2" borderId="11" xfId="0" applyFont="1" applyFill="1" applyBorder="1"/>
    <xf numFmtId="167" fontId="3" fillId="2" borderId="0" xfId="0" applyFont="1" applyFill="1" applyAlignment="1">
      <alignment horizontal="center"/>
    </xf>
    <xf numFmtId="179" fontId="3" fillId="2" borderId="0" xfId="0" applyNumberFormat="1" applyFont="1" applyFill="1" applyAlignment="1">
      <alignment horizontal="right"/>
    </xf>
    <xf numFmtId="167" fontId="4" fillId="6" borderId="7" xfId="0" applyFont="1" applyFill="1" applyBorder="1"/>
    <xf numFmtId="167" fontId="4" fillId="6" borderId="10" xfId="0" applyFont="1" applyFill="1" applyBorder="1" applyAlignment="1">
      <alignment horizontal="left"/>
    </xf>
    <xf numFmtId="167" fontId="4" fillId="6" borderId="10" xfId="0" applyFont="1" applyFill="1" applyBorder="1"/>
    <xf numFmtId="167" fontId="4" fillId="6" borderId="10" xfId="0" quotePrefix="1" applyFont="1" applyFill="1" applyBorder="1" applyAlignment="1">
      <alignment horizontal="left"/>
    </xf>
    <xf numFmtId="167" fontId="15" fillId="2" borderId="3" xfId="0" applyFont="1" applyFill="1" applyBorder="1"/>
    <xf numFmtId="167" fontId="3" fillId="7" borderId="0" xfId="0" applyFont="1" applyFill="1"/>
    <xf numFmtId="167" fontId="0" fillId="0" borderId="13" xfId="0" applyBorder="1"/>
    <xf numFmtId="167" fontId="0" fillId="0" borderId="6" xfId="0" applyBorder="1"/>
    <xf numFmtId="169" fontId="4" fillId="2" borderId="0" xfId="0" applyNumberFormat="1" applyFont="1" applyFill="1" applyAlignment="1">
      <alignment horizontal="right"/>
    </xf>
    <xf numFmtId="167" fontId="3" fillId="2" borderId="7" xfId="0" applyFont="1" applyFill="1" applyBorder="1"/>
    <xf numFmtId="176" fontId="3" fillId="2" borderId="9" xfId="0" applyNumberFormat="1" applyFont="1" applyFill="1" applyBorder="1" applyAlignment="1">
      <alignment horizontal="right"/>
    </xf>
    <xf numFmtId="174" fontId="3" fillId="2" borderId="11" xfId="0" applyNumberFormat="1" applyFont="1" applyFill="1" applyBorder="1" applyAlignment="1">
      <alignment horizontal="right"/>
    </xf>
    <xf numFmtId="167" fontId="3" fillId="2" borderId="10" xfId="0" applyFont="1" applyFill="1" applyBorder="1" applyAlignment="1">
      <alignment horizontal="left"/>
    </xf>
    <xf numFmtId="174" fontId="6" fillId="2" borderId="11" xfId="0" applyNumberFormat="1" applyFont="1" applyFill="1" applyBorder="1" applyAlignment="1">
      <alignment horizontal="right"/>
    </xf>
    <xf numFmtId="176" fontId="3" fillId="2" borderId="11" xfId="0" applyNumberFormat="1" applyFont="1" applyFill="1" applyBorder="1" applyAlignment="1">
      <alignment horizontal="right"/>
    </xf>
    <xf numFmtId="167" fontId="6" fillId="2" borderId="11" xfId="0" applyFont="1" applyFill="1" applyBorder="1" applyAlignment="1">
      <alignment horizontal="right"/>
    </xf>
    <xf numFmtId="167" fontId="3" fillId="2" borderId="11" xfId="0" applyFont="1" applyFill="1" applyBorder="1" applyAlignment="1">
      <alignment horizontal="right"/>
    </xf>
    <xf numFmtId="167" fontId="3" fillId="2" borderId="10" xfId="0" applyFont="1" applyFill="1" applyBorder="1" applyAlignment="1">
      <alignment horizontal="right"/>
    </xf>
    <xf numFmtId="164" fontId="3" fillId="2" borderId="11" xfId="0" applyNumberFormat="1" applyFont="1" applyFill="1" applyBorder="1" applyAlignment="1">
      <alignment horizontal="right"/>
    </xf>
    <xf numFmtId="164" fontId="3" fillId="2" borderId="15" xfId="0" applyNumberFormat="1" applyFont="1" applyFill="1" applyBorder="1" applyAlignment="1">
      <alignment horizontal="right"/>
    </xf>
    <xf numFmtId="179" fontId="3" fillId="2" borderId="11" xfId="0" applyNumberFormat="1" applyFont="1" applyFill="1" applyBorder="1" applyAlignment="1">
      <alignment horizontal="right"/>
    </xf>
    <xf numFmtId="167" fontId="3" fillId="2" borderId="7" xfId="0" applyFont="1" applyFill="1" applyBorder="1" applyAlignment="1">
      <alignment horizontal="left"/>
    </xf>
    <xf numFmtId="167" fontId="3" fillId="7" borderId="10" xfId="0" quotePrefix="1" applyFont="1" applyFill="1" applyBorder="1" applyAlignment="1">
      <alignment horizontal="left"/>
    </xf>
    <xf numFmtId="167" fontId="3" fillId="2" borderId="10" xfId="0" quotePrefix="1" applyFont="1" applyFill="1" applyBorder="1" applyAlignment="1">
      <alignment horizontal="left"/>
    </xf>
    <xf numFmtId="167" fontId="3" fillId="2" borderId="10" xfId="0" applyFont="1" applyFill="1" applyBorder="1" applyAlignment="1">
      <alignment horizontal="left" vertical="top"/>
    </xf>
    <xf numFmtId="167" fontId="3" fillId="2" borderId="12" xfId="0" applyFont="1" applyFill="1" applyBorder="1" applyAlignment="1">
      <alignment horizontal="left"/>
    </xf>
    <xf numFmtId="167" fontId="16" fillId="2" borderId="3" xfId="0" applyFont="1" applyFill="1" applyBorder="1" applyAlignment="1">
      <alignment horizontal="left"/>
    </xf>
    <xf numFmtId="179" fontId="16" fillId="2" borderId="4" xfId="0" applyNumberFormat="1" applyFont="1" applyFill="1" applyBorder="1" applyAlignment="1">
      <alignment horizontal="right"/>
    </xf>
    <xf numFmtId="182" fontId="8" fillId="2" borderId="0" xfId="0" applyNumberFormat="1" applyFont="1" applyFill="1" applyAlignment="1">
      <alignment horizontal="left"/>
    </xf>
    <xf numFmtId="167" fontId="13" fillId="8" borderId="19" xfId="0" applyFont="1" applyFill="1" applyBorder="1"/>
    <xf numFmtId="167" fontId="13" fillId="8" borderId="20" xfId="0" applyFont="1" applyFill="1" applyBorder="1"/>
    <xf numFmtId="167" fontId="7" fillId="0" borderId="0" xfId="0" applyFont="1"/>
    <xf numFmtId="164" fontId="3" fillId="0" borderId="0" xfId="0" applyNumberFormat="1" applyFont="1"/>
    <xf numFmtId="9" fontId="3" fillId="2" borderId="0" xfId="0" applyNumberFormat="1" applyFont="1" applyFill="1" applyAlignment="1">
      <alignment horizontal="left"/>
    </xf>
    <xf numFmtId="168" fontId="16" fillId="0" borderId="3" xfId="0" applyNumberFormat="1" applyFont="1" applyBorder="1" applyAlignment="1">
      <alignment horizontal="left"/>
    </xf>
    <xf numFmtId="180" fontId="3" fillId="2" borderId="11" xfId="0" applyNumberFormat="1" applyFont="1" applyFill="1" applyBorder="1"/>
    <xf numFmtId="174" fontId="3" fillId="2" borderId="9" xfId="0" applyNumberFormat="1" applyFont="1" applyFill="1" applyBorder="1" applyAlignment="1">
      <alignment horizontal="right"/>
    </xf>
    <xf numFmtId="180" fontId="3" fillId="2" borderId="11" xfId="0" applyNumberFormat="1" applyFont="1" applyFill="1" applyBorder="1" applyAlignment="1">
      <alignment horizontal="right"/>
    </xf>
    <xf numFmtId="167" fontId="21" fillId="0" borderId="0" xfId="0" applyFont="1"/>
    <xf numFmtId="167" fontId="22" fillId="0" borderId="0" xfId="0" applyFont="1" applyAlignment="1">
      <alignment horizontal="left" indent="1"/>
    </xf>
    <xf numFmtId="167" fontId="0" fillId="0" borderId="0" xfId="0" applyAlignment="1">
      <alignment horizontal="left" indent="2"/>
    </xf>
    <xf numFmtId="185" fontId="0" fillId="0" borderId="0" xfId="0" applyNumberFormat="1"/>
    <xf numFmtId="167" fontId="9" fillId="0" borderId="0" xfId="0" applyFont="1"/>
    <xf numFmtId="172" fontId="0" fillId="0" borderId="0" xfId="2" applyNumberFormat="1" applyFont="1" applyAlignment="1">
      <alignment horizontal="left" indent="2"/>
    </xf>
    <xf numFmtId="167" fontId="20" fillId="2" borderId="0" xfId="0" applyFont="1" applyFill="1"/>
    <xf numFmtId="167" fontId="20" fillId="2" borderId="0" xfId="0" applyFont="1" applyFill="1" applyAlignment="1">
      <alignment horizontal="left"/>
    </xf>
    <xf numFmtId="167" fontId="20" fillId="2" borderId="0" xfId="0" applyFont="1" applyFill="1" applyAlignment="1">
      <alignment horizontal="center"/>
    </xf>
    <xf numFmtId="175" fontId="3" fillId="0" borderId="11" xfId="0" applyNumberFormat="1" applyFont="1" applyBorder="1" applyAlignment="1">
      <alignment horizontal="right"/>
    </xf>
    <xf numFmtId="164" fontId="15" fillId="2" borderId="4" xfId="0" applyNumberFormat="1" applyFont="1" applyFill="1" applyBorder="1"/>
    <xf numFmtId="176" fontId="3" fillId="2" borderId="11" xfId="0" applyNumberFormat="1" applyFont="1" applyFill="1" applyBorder="1"/>
    <xf numFmtId="178" fontId="3" fillId="2" borderId="0" xfId="0" applyNumberFormat="1" applyFont="1" applyFill="1" applyAlignment="1">
      <alignment horizontal="left"/>
    </xf>
    <xf numFmtId="176" fontId="6" fillId="2" borderId="0" xfId="0" applyNumberFormat="1" applyFont="1" applyFill="1"/>
    <xf numFmtId="186" fontId="6" fillId="2" borderId="0" xfId="0" applyNumberFormat="1" applyFont="1" applyFill="1"/>
    <xf numFmtId="174" fontId="3" fillId="2" borderId="11" xfId="0" applyNumberFormat="1" applyFont="1" applyFill="1" applyBorder="1"/>
    <xf numFmtId="187" fontId="3" fillId="2" borderId="0" xfId="1" applyNumberFormat="1" applyFont="1" applyFill="1" applyBorder="1"/>
    <xf numFmtId="164" fontId="3" fillId="2" borderId="11" xfId="0" applyNumberFormat="1" applyFont="1" applyFill="1" applyBorder="1"/>
    <xf numFmtId="164" fontId="4" fillId="2" borderId="0" xfId="0" applyNumberFormat="1" applyFont="1" applyFill="1" applyAlignment="1">
      <alignment horizontal="center"/>
    </xf>
    <xf numFmtId="10" fontId="3" fillId="2" borderId="0" xfId="2" applyNumberFormat="1" applyFont="1" applyFill="1" applyBorder="1"/>
    <xf numFmtId="188" fontId="3" fillId="2" borderId="0" xfId="0" applyNumberFormat="1" applyFont="1" applyFill="1" applyAlignment="1">
      <alignment horizontal="center"/>
    </xf>
    <xf numFmtId="188" fontId="3" fillId="2" borderId="0" xfId="0" applyNumberFormat="1" applyFont="1" applyFill="1" applyAlignment="1">
      <alignment horizontal="left"/>
    </xf>
    <xf numFmtId="178" fontId="20" fillId="2" borderId="0" xfId="0" applyNumberFormat="1" applyFont="1" applyFill="1" applyAlignment="1">
      <alignment horizontal="center"/>
    </xf>
    <xf numFmtId="178" fontId="20" fillId="2" borderId="0" xfId="0" applyNumberFormat="1" applyFont="1" applyFill="1" applyAlignment="1">
      <alignment horizontal="left"/>
    </xf>
    <xf numFmtId="168" fontId="16" fillId="7" borderId="3" xfId="0" applyNumberFormat="1" applyFont="1" applyFill="1" applyBorder="1" applyAlignment="1">
      <alignment horizontal="left"/>
    </xf>
    <xf numFmtId="168" fontId="6" fillId="7" borderId="4" xfId="0" applyNumberFormat="1" applyFont="1" applyFill="1" applyBorder="1"/>
    <xf numFmtId="189" fontId="3" fillId="2" borderId="11" xfId="0" applyNumberFormat="1" applyFont="1" applyFill="1" applyBorder="1" applyAlignment="1">
      <alignment horizontal="right"/>
    </xf>
    <xf numFmtId="177" fontId="3" fillId="2" borderId="0" xfId="0" applyNumberFormat="1" applyFont="1" applyFill="1" applyAlignment="1">
      <alignment horizontal="right"/>
    </xf>
    <xf numFmtId="10" fontId="3" fillId="2" borderId="0" xfId="2" applyNumberFormat="1" applyFont="1" applyFill="1" applyAlignment="1">
      <alignment horizontal="right"/>
    </xf>
    <xf numFmtId="177" fontId="3" fillId="2" borderId="0" xfId="0" applyNumberFormat="1" applyFont="1" applyFill="1"/>
    <xf numFmtId="167" fontId="3" fillId="2" borderId="4" xfId="0" applyFont="1" applyFill="1" applyBorder="1" applyAlignment="1">
      <alignment horizontal="right"/>
    </xf>
    <xf numFmtId="167" fontId="4" fillId="6" borderId="10" xfId="0" applyFont="1" applyFill="1" applyBorder="1" applyAlignment="1">
      <alignment horizontal="left" indent="2"/>
    </xf>
    <xf numFmtId="189" fontId="3" fillId="2" borderId="9" xfId="0" applyNumberFormat="1" applyFont="1" applyFill="1" applyBorder="1" applyAlignment="1">
      <alignment horizontal="right"/>
    </xf>
    <xf numFmtId="189" fontId="6" fillId="2" borderId="11" xfId="0" applyNumberFormat="1" applyFont="1" applyFill="1" applyBorder="1" applyAlignment="1">
      <alignment horizontal="right"/>
    </xf>
    <xf numFmtId="164" fontId="3" fillId="2" borderId="9" xfId="0" applyNumberFormat="1" applyFont="1" applyFill="1" applyBorder="1" applyAlignment="1">
      <alignment horizontal="right"/>
    </xf>
    <xf numFmtId="164" fontId="6" fillId="2" borderId="11" xfId="0" applyNumberFormat="1" applyFont="1" applyFill="1" applyBorder="1" applyAlignment="1">
      <alignment horizontal="right"/>
    </xf>
    <xf numFmtId="164" fontId="3" fillId="0" borderId="11" xfId="0" applyNumberFormat="1" applyFont="1" applyBorder="1" applyAlignment="1">
      <alignment horizontal="right"/>
    </xf>
    <xf numFmtId="167" fontId="27" fillId="0" borderId="10" xfId="0" applyFont="1" applyBorder="1"/>
    <xf numFmtId="167" fontId="11" fillId="0" borderId="0" xfId="0" applyFont="1"/>
    <xf numFmtId="167" fontId="11" fillId="0" borderId="0" xfId="0" applyFont="1" applyAlignment="1">
      <alignment horizontal="center"/>
    </xf>
    <xf numFmtId="167" fontId="11" fillId="9" borderId="0" xfId="0" applyFont="1" applyFill="1" applyAlignment="1">
      <alignment horizontal="center"/>
    </xf>
    <xf numFmtId="180" fontId="13" fillId="8" borderId="21" xfId="0" applyNumberFormat="1" applyFont="1" applyFill="1" applyBorder="1" applyAlignment="1">
      <alignment horizontal="center"/>
    </xf>
    <xf numFmtId="176" fontId="3" fillId="2" borderId="0" xfId="1" applyNumberFormat="1" applyFont="1" applyFill="1"/>
    <xf numFmtId="174" fontId="3" fillId="2" borderId="9" xfId="0" applyNumberFormat="1" applyFont="1" applyFill="1" applyBorder="1"/>
    <xf numFmtId="170" fontId="3" fillId="2" borderId="11" xfId="0" applyNumberFormat="1" applyFont="1" applyFill="1" applyBorder="1"/>
    <xf numFmtId="10" fontId="3" fillId="2" borderId="11" xfId="0" applyNumberFormat="1" applyFont="1" applyFill="1" applyBorder="1"/>
    <xf numFmtId="167" fontId="3" fillId="2" borderId="4" xfId="0" applyFont="1" applyFill="1" applyBorder="1"/>
    <xf numFmtId="167" fontId="4" fillId="2" borderId="3" xfId="0" applyFont="1" applyFill="1" applyBorder="1" applyAlignment="1">
      <alignment horizontal="left"/>
    </xf>
    <xf numFmtId="167" fontId="25" fillId="2" borderId="0" xfId="0" applyFont="1" applyFill="1"/>
    <xf numFmtId="10" fontId="3" fillId="2" borderId="0" xfId="2" applyNumberFormat="1" applyFont="1" applyFill="1" applyProtection="1"/>
    <xf numFmtId="170" fontId="3" fillId="2" borderId="0" xfId="0" applyNumberFormat="1" applyFont="1" applyFill="1"/>
    <xf numFmtId="10" fontId="3" fillId="2" borderId="0" xfId="0" applyNumberFormat="1" applyFont="1" applyFill="1"/>
    <xf numFmtId="190" fontId="3" fillId="2" borderId="0" xfId="0" applyNumberFormat="1" applyFont="1" applyFill="1"/>
    <xf numFmtId="10" fontId="28" fillId="2" borderId="0" xfId="0" applyNumberFormat="1" applyFont="1" applyFill="1" applyProtection="1">
      <protection locked="0"/>
    </xf>
    <xf numFmtId="174" fontId="28" fillId="2" borderId="0" xfId="0" applyNumberFormat="1" applyFont="1" applyFill="1" applyProtection="1">
      <protection locked="0"/>
    </xf>
    <xf numFmtId="171" fontId="3" fillId="2" borderId="0" xfId="0" applyNumberFormat="1" applyFont="1" applyFill="1"/>
    <xf numFmtId="176" fontId="28" fillId="2" borderId="0" xfId="0" applyNumberFormat="1" applyFont="1" applyFill="1" applyProtection="1">
      <protection locked="0"/>
    </xf>
    <xf numFmtId="174" fontId="4" fillId="0" borderId="0" xfId="0" applyNumberFormat="1" applyFont="1" applyAlignment="1">
      <alignment horizontal="right"/>
    </xf>
    <xf numFmtId="164" fontId="24" fillId="7" borderId="0" xfId="0" applyNumberFormat="1" applyFont="1" applyFill="1" applyAlignment="1">
      <alignment horizontal="right"/>
    </xf>
    <xf numFmtId="174" fontId="6" fillId="0" borderId="0" xfId="0" applyNumberFormat="1" applyFont="1" applyAlignment="1">
      <alignment horizontal="right"/>
    </xf>
    <xf numFmtId="167" fontId="3" fillId="2" borderId="5" xfId="0" applyFont="1" applyFill="1" applyBorder="1"/>
    <xf numFmtId="167" fontId="3" fillId="2" borderId="26" xfId="0" applyFont="1" applyFill="1" applyBorder="1" applyAlignment="1">
      <alignment horizontal="left"/>
    </xf>
    <xf numFmtId="167" fontId="3" fillId="2" borderId="27" xfId="0" applyFont="1" applyFill="1" applyBorder="1" applyAlignment="1">
      <alignment horizontal="left"/>
    </xf>
    <xf numFmtId="167" fontId="3" fillId="7" borderId="0" xfId="0" applyFont="1" applyFill="1" applyAlignment="1">
      <alignment horizontal="right"/>
    </xf>
    <xf numFmtId="174" fontId="3" fillId="7" borderId="0" xfId="0" applyNumberFormat="1" applyFont="1" applyFill="1"/>
    <xf numFmtId="164" fontId="3" fillId="7" borderId="0" xfId="0" applyNumberFormat="1" applyFont="1" applyFill="1"/>
    <xf numFmtId="167" fontId="30" fillId="7" borderId="0" xfId="0" applyFont="1" applyFill="1" applyAlignment="1">
      <alignment horizontal="left"/>
    </xf>
    <xf numFmtId="167" fontId="30" fillId="7" borderId="0" xfId="0" applyFont="1" applyFill="1" applyAlignment="1">
      <alignment horizontal="right"/>
    </xf>
    <xf numFmtId="10" fontId="24" fillId="7" borderId="0" xfId="0" applyNumberFormat="1" applyFont="1" applyFill="1" applyAlignment="1">
      <alignment horizontal="right"/>
    </xf>
    <xf numFmtId="174" fontId="3" fillId="7" borderId="0" xfId="0" applyNumberFormat="1" applyFont="1" applyFill="1" applyAlignment="1">
      <alignment horizontal="right"/>
    </xf>
    <xf numFmtId="170" fontId="3" fillId="7" borderId="0" xfId="0" applyNumberFormat="1" applyFont="1" applyFill="1" applyAlignment="1">
      <alignment horizontal="right"/>
    </xf>
    <xf numFmtId="167" fontId="24" fillId="7" borderId="0" xfId="0" applyFont="1" applyFill="1" applyAlignment="1">
      <alignment horizontal="right"/>
    </xf>
    <xf numFmtId="167" fontId="6" fillId="7" borderId="0" xfId="0" applyFont="1" applyFill="1" applyAlignment="1">
      <alignment horizontal="right"/>
    </xf>
    <xf numFmtId="167" fontId="31" fillId="7" borderId="0" xfId="0" applyFont="1" applyFill="1" applyAlignment="1">
      <alignment horizontal="right"/>
    </xf>
    <xf numFmtId="167" fontId="29" fillId="7" borderId="3" xfId="0" applyFont="1" applyFill="1" applyBorder="1" applyAlignment="1">
      <alignment horizontal="left"/>
    </xf>
    <xf numFmtId="167" fontId="3" fillId="7" borderId="7" xfId="0" applyFont="1" applyFill="1" applyBorder="1" applyAlignment="1">
      <alignment horizontal="left"/>
    </xf>
    <xf numFmtId="167" fontId="3" fillId="7" borderId="10" xfId="0" applyFont="1" applyFill="1" applyBorder="1" applyAlignment="1">
      <alignment horizontal="left"/>
    </xf>
    <xf numFmtId="167" fontId="3" fillId="7" borderId="12" xfId="0" applyFont="1" applyFill="1" applyBorder="1" applyAlignment="1">
      <alignment horizontal="left"/>
    </xf>
    <xf numFmtId="167" fontId="4" fillId="7" borderId="0" xfId="0" applyFont="1" applyFill="1" applyAlignment="1">
      <alignment horizontal="left"/>
    </xf>
    <xf numFmtId="167" fontId="19" fillId="7" borderId="0" xfId="0" applyFont="1" applyFill="1" applyAlignment="1">
      <alignment horizontal="left"/>
    </xf>
    <xf numFmtId="10" fontId="19" fillId="7" borderId="0" xfId="0" applyNumberFormat="1" applyFont="1" applyFill="1"/>
    <xf numFmtId="174" fontId="3" fillId="7" borderId="11" xfId="0" applyNumberFormat="1" applyFont="1" applyFill="1" applyBorder="1"/>
    <xf numFmtId="174" fontId="3" fillId="7" borderId="6" xfId="0" applyNumberFormat="1" applyFont="1" applyFill="1" applyBorder="1" applyAlignment="1">
      <alignment horizontal="right"/>
    </xf>
    <xf numFmtId="2" fontId="3" fillId="2" borderId="11" xfId="0" applyNumberFormat="1" applyFont="1" applyFill="1" applyBorder="1"/>
    <xf numFmtId="2" fontId="6" fillId="2" borderId="11" xfId="0" applyNumberFormat="1" applyFont="1" applyFill="1" applyBorder="1"/>
    <xf numFmtId="180" fontId="6" fillId="2" borderId="11" xfId="0" applyNumberFormat="1" applyFont="1" applyFill="1" applyBorder="1"/>
    <xf numFmtId="180" fontId="3" fillId="2" borderId="28" xfId="0" applyNumberFormat="1" applyFont="1" applyFill="1" applyBorder="1"/>
    <xf numFmtId="170" fontId="3" fillId="2" borderId="11" xfId="0" applyNumberFormat="1" applyFont="1" applyFill="1" applyBorder="1" applyAlignment="1">
      <alignment horizontal="right"/>
    </xf>
    <xf numFmtId="174" fontId="4" fillId="2" borderId="0" xfId="0" applyNumberFormat="1" applyFont="1" applyFill="1"/>
    <xf numFmtId="174" fontId="3" fillId="7" borderId="11" xfId="0" applyNumberFormat="1" applyFont="1" applyFill="1" applyBorder="1" applyAlignment="1">
      <alignment horizontal="right"/>
    </xf>
    <xf numFmtId="2" fontId="3" fillId="7" borderId="11" xfId="0" applyNumberFormat="1" applyFont="1" applyFill="1" applyBorder="1" applyAlignment="1">
      <alignment horizontal="right"/>
    </xf>
    <xf numFmtId="2" fontId="3" fillId="2" borderId="11" xfId="0" applyNumberFormat="1" applyFont="1" applyFill="1" applyBorder="1" applyAlignment="1">
      <alignment horizontal="right"/>
    </xf>
    <xf numFmtId="167" fontId="3" fillId="7" borderId="10" xfId="0" applyFont="1" applyFill="1" applyBorder="1" applyAlignment="1">
      <alignment vertical="center"/>
    </xf>
    <xf numFmtId="180" fontId="3" fillId="7" borderId="11" xfId="0" applyNumberFormat="1" applyFont="1" applyFill="1" applyBorder="1" applyAlignment="1">
      <alignment horizontal="right"/>
    </xf>
    <xf numFmtId="2" fontId="6" fillId="7" borderId="11" xfId="0" applyNumberFormat="1" applyFont="1" applyFill="1" applyBorder="1" applyAlignment="1">
      <alignment horizontal="right"/>
    </xf>
    <xf numFmtId="167" fontId="29" fillId="7" borderId="0" xfId="0" applyFont="1" applyFill="1" applyAlignment="1">
      <alignment horizontal="left"/>
    </xf>
    <xf numFmtId="167" fontId="29" fillId="7" borderId="0" xfId="0" applyFont="1" applyFill="1" applyAlignment="1">
      <alignment horizontal="right"/>
    </xf>
    <xf numFmtId="180" fontId="3" fillId="7" borderId="24" xfId="0" applyNumberFormat="1" applyFont="1" applyFill="1" applyBorder="1" applyAlignment="1">
      <alignment horizontal="right"/>
    </xf>
    <xf numFmtId="166" fontId="3" fillId="7" borderId="11" xfId="4" applyFont="1" applyFill="1" applyBorder="1" applyAlignment="1">
      <alignment horizontal="right"/>
    </xf>
    <xf numFmtId="166" fontId="29" fillId="7" borderId="4" xfId="4" applyFont="1" applyFill="1" applyBorder="1" applyAlignment="1">
      <alignment horizontal="right"/>
    </xf>
    <xf numFmtId="180" fontId="3" fillId="2" borderId="24" xfId="0" applyNumberFormat="1" applyFont="1" applyFill="1" applyBorder="1"/>
    <xf numFmtId="167" fontId="29" fillId="2" borderId="0" xfId="0" quotePrefix="1" applyFont="1" applyFill="1" applyAlignment="1">
      <alignment horizontal="left"/>
    </xf>
    <xf numFmtId="10" fontId="3" fillId="2" borderId="11" xfId="0" applyNumberFormat="1" applyFont="1" applyFill="1" applyBorder="1" applyAlignment="1">
      <alignment horizontal="right"/>
    </xf>
    <xf numFmtId="0" fontId="3" fillId="0" borderId="22" xfId="5" applyFont="1" applyBorder="1" applyAlignment="1">
      <alignment vertical="top"/>
    </xf>
    <xf numFmtId="0" fontId="3" fillId="0" borderId="16" xfId="5" applyFont="1" applyBorder="1" applyAlignment="1">
      <alignment vertical="top"/>
    </xf>
    <xf numFmtId="167" fontId="10" fillId="2" borderId="0" xfId="3" applyNumberFormat="1" applyFill="1"/>
    <xf numFmtId="167" fontId="0" fillId="0" borderId="11" xfId="0" applyBorder="1"/>
    <xf numFmtId="167" fontId="32" fillId="5" borderId="10" xfId="0" applyFont="1" applyFill="1" applyBorder="1" applyAlignment="1">
      <alignment horizontal="left"/>
    </xf>
    <xf numFmtId="167" fontId="32" fillId="5" borderId="12" xfId="0" applyFont="1" applyFill="1" applyBorder="1" applyAlignment="1">
      <alignment horizontal="left"/>
    </xf>
    <xf numFmtId="167" fontId="34" fillId="12" borderId="0" xfId="0" applyFont="1" applyFill="1"/>
    <xf numFmtId="167" fontId="32" fillId="12" borderId="0" xfId="0" applyFont="1" applyFill="1"/>
    <xf numFmtId="167" fontId="34" fillId="12" borderId="7" xfId="0" applyFont="1" applyFill="1" applyBorder="1"/>
    <xf numFmtId="167" fontId="0" fillId="0" borderId="9" xfId="0" applyBorder="1"/>
    <xf numFmtId="167" fontId="22" fillId="0" borderId="10" xfId="0" applyFont="1" applyBorder="1" applyAlignment="1">
      <alignment horizontal="left" indent="1"/>
    </xf>
    <xf numFmtId="180" fontId="0" fillId="0" borderId="11" xfId="0" applyNumberFormat="1" applyBorder="1"/>
    <xf numFmtId="167" fontId="0" fillId="0" borderId="10" xfId="0" applyBorder="1" applyAlignment="1">
      <alignment horizontal="left" indent="3"/>
    </xf>
    <xf numFmtId="180" fontId="0" fillId="9" borderId="11" xfId="0" applyNumberFormat="1" applyFill="1" applyBorder="1"/>
    <xf numFmtId="167" fontId="0" fillId="0" borderId="10" xfId="0" applyBorder="1" applyAlignment="1">
      <alignment horizontal="left" indent="2"/>
    </xf>
    <xf numFmtId="167" fontId="22" fillId="0" borderId="11" xfId="0" applyFont="1" applyBorder="1" applyAlignment="1">
      <alignment horizontal="left" indent="1"/>
    </xf>
    <xf numFmtId="167" fontId="22" fillId="0" borderId="12" xfId="0" applyFont="1" applyBorder="1" applyAlignment="1">
      <alignment horizontal="left" indent="1"/>
    </xf>
    <xf numFmtId="180" fontId="0" fillId="0" borderId="6" xfId="0" applyNumberFormat="1" applyBorder="1"/>
    <xf numFmtId="9" fontId="0" fillId="0" borderId="11" xfId="2" applyFont="1" applyBorder="1" applyAlignment="1">
      <alignment horizontal="left" indent="2"/>
    </xf>
    <xf numFmtId="167" fontId="0" fillId="0" borderId="12" xfId="0" applyBorder="1" applyAlignment="1">
      <alignment horizontal="left" indent="2"/>
    </xf>
    <xf numFmtId="9" fontId="0" fillId="0" borderId="6" xfId="2" applyFont="1" applyBorder="1" applyAlignment="1">
      <alignment horizontal="left" indent="2"/>
    </xf>
    <xf numFmtId="167" fontId="34" fillId="12" borderId="8" xfId="0" applyFont="1" applyFill="1" applyBorder="1"/>
    <xf numFmtId="167" fontId="34" fillId="12" borderId="9" xfId="0" applyFont="1" applyFill="1" applyBorder="1"/>
    <xf numFmtId="2" fontId="0" fillId="0" borderId="11" xfId="0" applyNumberFormat="1" applyBorder="1" applyAlignment="1">
      <alignment horizontal="left" indent="2"/>
    </xf>
    <xf numFmtId="2" fontId="0" fillId="0" borderId="6" xfId="0" applyNumberFormat="1" applyBorder="1" applyAlignment="1">
      <alignment horizontal="left" indent="2"/>
    </xf>
    <xf numFmtId="167" fontId="34" fillId="12" borderId="3" xfId="0" applyFont="1" applyFill="1" applyBorder="1"/>
    <xf numFmtId="172" fontId="0" fillId="0" borderId="4" xfId="2" applyNumberFormat="1" applyFont="1" applyBorder="1" applyAlignment="1">
      <alignment horizontal="left" indent="2"/>
    </xf>
    <xf numFmtId="167" fontId="0" fillId="0" borderId="4" xfId="0" applyBorder="1" applyAlignment="1">
      <alignment horizontal="left" indent="2"/>
    </xf>
    <xf numFmtId="172" fontId="0" fillId="0" borderId="11" xfId="2" applyNumberFormat="1" applyFont="1" applyBorder="1" applyAlignment="1">
      <alignment horizontal="left" indent="2"/>
    </xf>
    <xf numFmtId="172" fontId="0" fillId="0" borderId="6" xfId="2" applyNumberFormat="1" applyFont="1" applyBorder="1" applyAlignment="1">
      <alignment horizontal="left" indent="2"/>
    </xf>
    <xf numFmtId="167" fontId="0" fillId="0" borderId="9" xfId="0" applyBorder="1" applyAlignment="1">
      <alignment horizontal="left" indent="2"/>
    </xf>
    <xf numFmtId="167" fontId="0" fillId="0" borderId="11" xfId="0" applyBorder="1" applyAlignment="1">
      <alignment horizontal="left" indent="2"/>
    </xf>
    <xf numFmtId="167" fontId="0" fillId="0" borderId="6" xfId="0" applyBorder="1" applyAlignment="1">
      <alignment horizontal="left" indent="2"/>
    </xf>
    <xf numFmtId="167" fontId="0" fillId="0" borderId="8" xfId="0" applyBorder="1"/>
    <xf numFmtId="167" fontId="23" fillId="0" borderId="10" xfId="0" applyFont="1" applyBorder="1" applyAlignment="1">
      <alignment horizontal="left" indent="2"/>
    </xf>
    <xf numFmtId="167" fontId="0" fillId="0" borderId="10" xfId="0" applyBorder="1"/>
    <xf numFmtId="167" fontId="0" fillId="0" borderId="14" xfId="0" applyBorder="1"/>
    <xf numFmtId="167" fontId="0" fillId="0" borderId="4" xfId="0" applyBorder="1"/>
    <xf numFmtId="167" fontId="23" fillId="0" borderId="8" xfId="0" applyFont="1" applyBorder="1"/>
    <xf numFmtId="167" fontId="33" fillId="5" borderId="9" xfId="0" applyFont="1" applyFill="1" applyBorder="1"/>
    <xf numFmtId="167" fontId="23" fillId="0" borderId="12" xfId="0" applyFont="1" applyBorder="1" applyAlignment="1">
      <alignment horizontal="left" indent="2"/>
    </xf>
    <xf numFmtId="2" fontId="29" fillId="7" borderId="4" xfId="0" applyNumberFormat="1" applyFont="1" applyFill="1" applyBorder="1" applyAlignment="1">
      <alignment horizontal="right"/>
    </xf>
    <xf numFmtId="167" fontId="4" fillId="6" borderId="7" xfId="0" applyFont="1" applyFill="1" applyBorder="1" applyProtection="1"/>
    <xf numFmtId="167" fontId="4" fillId="6" borderId="10" xfId="0" applyFont="1" applyFill="1" applyBorder="1" applyAlignment="1" applyProtection="1">
      <alignment horizontal="left"/>
    </xf>
    <xf numFmtId="167" fontId="4" fillId="6" borderId="10" xfId="0" applyFont="1" applyFill="1" applyBorder="1" applyProtection="1"/>
    <xf numFmtId="167" fontId="4" fillId="6" borderId="10" xfId="0" quotePrefix="1" applyFont="1" applyFill="1" applyBorder="1" applyAlignment="1" applyProtection="1">
      <alignment horizontal="left"/>
    </xf>
    <xf numFmtId="167" fontId="4" fillId="6" borderId="12" xfId="0" quotePrefix="1" applyFont="1" applyFill="1" applyBorder="1" applyAlignment="1" applyProtection="1">
      <alignment horizontal="left"/>
    </xf>
    <xf numFmtId="167" fontId="4" fillId="6" borderId="7" xfId="0" applyFont="1" applyFill="1" applyBorder="1" applyAlignment="1">
      <alignment horizontal="left"/>
    </xf>
    <xf numFmtId="167" fontId="29" fillId="6" borderId="7" xfId="0" applyFont="1" applyFill="1" applyBorder="1" applyAlignment="1">
      <alignment vertical="center"/>
    </xf>
    <xf numFmtId="167" fontId="4" fillId="6" borderId="10" xfId="0" applyFont="1" applyFill="1" applyBorder="1" applyAlignment="1">
      <alignment vertical="center"/>
    </xf>
    <xf numFmtId="167" fontId="4" fillId="6" borderId="7" xfId="0" applyFont="1" applyFill="1" applyBorder="1" applyAlignment="1">
      <alignment vertical="center"/>
    </xf>
    <xf numFmtId="167" fontId="10" fillId="0" borderId="0" xfId="3" applyNumberFormat="1" applyProtection="1">
      <protection locked="0"/>
    </xf>
    <xf numFmtId="167" fontId="0" fillId="0" borderId="0" xfId="0" applyFont="1"/>
    <xf numFmtId="180" fontId="0" fillId="0" borderId="0" xfId="0" applyNumberFormat="1" applyFont="1"/>
    <xf numFmtId="0" fontId="3" fillId="0" borderId="30" xfId="5" applyFont="1" applyBorder="1" applyAlignment="1">
      <alignment vertical="top"/>
    </xf>
    <xf numFmtId="185" fontId="3" fillId="0" borderId="25" xfId="5" applyNumberFormat="1" applyFont="1" applyBorder="1" applyAlignment="1">
      <alignment vertical="top"/>
    </xf>
    <xf numFmtId="0" fontId="3" fillId="0" borderId="25" xfId="5" applyFont="1" applyBorder="1" applyAlignment="1">
      <alignment vertical="top"/>
    </xf>
    <xf numFmtId="167" fontId="0" fillId="5" borderId="11" xfId="0" applyFont="1" applyFill="1" applyBorder="1"/>
    <xf numFmtId="167" fontId="0" fillId="5" borderId="6" xfId="0" applyFont="1" applyFill="1" applyBorder="1"/>
    <xf numFmtId="167" fontId="21" fillId="12" borderId="0" xfId="0" applyFont="1" applyFill="1"/>
    <xf numFmtId="167" fontId="0" fillId="12" borderId="0" xfId="0" applyFont="1" applyFill="1"/>
    <xf numFmtId="180" fontId="0" fillId="12" borderId="0" xfId="0" applyNumberFormat="1" applyFont="1" applyFill="1"/>
    <xf numFmtId="167" fontId="9" fillId="10" borderId="23" xfId="0" applyFont="1" applyFill="1" applyBorder="1"/>
    <xf numFmtId="180" fontId="9" fillId="10" borderId="18" xfId="0" applyNumberFormat="1" applyFont="1" applyFill="1" applyBorder="1" applyAlignment="1">
      <alignment horizontal="center"/>
    </xf>
    <xf numFmtId="167" fontId="9" fillId="10" borderId="16" xfId="0" applyFont="1" applyFill="1" applyBorder="1"/>
    <xf numFmtId="167" fontId="9" fillId="10" borderId="2" xfId="0" applyFont="1" applyFill="1" applyBorder="1"/>
    <xf numFmtId="180" fontId="9" fillId="10" borderId="17" xfId="0" applyNumberFormat="1" applyFont="1" applyFill="1" applyBorder="1" applyAlignment="1">
      <alignment horizontal="center"/>
    </xf>
    <xf numFmtId="174" fontId="9" fillId="10" borderId="16" xfId="0" applyNumberFormat="1" applyFont="1" applyFill="1" applyBorder="1"/>
    <xf numFmtId="167" fontId="9" fillId="4" borderId="2" xfId="0" applyFont="1" applyFill="1" applyBorder="1"/>
    <xf numFmtId="180" fontId="9" fillId="4" borderId="18" xfId="0" applyNumberFormat="1" applyFont="1" applyFill="1" applyBorder="1" applyAlignment="1">
      <alignment horizontal="center"/>
    </xf>
    <xf numFmtId="180" fontId="9" fillId="4" borderId="17" xfId="0" applyNumberFormat="1" applyFont="1" applyFill="1" applyBorder="1" applyAlignment="1">
      <alignment horizontal="center"/>
    </xf>
    <xf numFmtId="167" fontId="9" fillId="3" borderId="16" xfId="0" applyFont="1" applyFill="1" applyBorder="1"/>
    <xf numFmtId="167" fontId="9" fillId="3" borderId="2" xfId="0" applyFont="1" applyFill="1" applyBorder="1"/>
    <xf numFmtId="180" fontId="9" fillId="3" borderId="18" xfId="0" applyNumberFormat="1" applyFont="1" applyFill="1" applyBorder="1" applyAlignment="1">
      <alignment horizontal="center"/>
    </xf>
    <xf numFmtId="180" fontId="9" fillId="3" borderId="17" xfId="0" applyNumberFormat="1" applyFont="1" applyFill="1" applyBorder="1" applyAlignment="1">
      <alignment horizontal="center"/>
    </xf>
    <xf numFmtId="174" fontId="9" fillId="11" borderId="16" xfId="0" applyNumberFormat="1" applyFont="1" applyFill="1" applyBorder="1"/>
    <xf numFmtId="167" fontId="9" fillId="11" borderId="2" xfId="0" applyFont="1" applyFill="1" applyBorder="1"/>
    <xf numFmtId="180" fontId="9" fillId="11" borderId="17" xfId="0" applyNumberFormat="1" applyFont="1" applyFill="1" applyBorder="1" applyAlignment="1">
      <alignment horizontal="center"/>
    </xf>
    <xf numFmtId="167" fontId="9" fillId="11" borderId="16" xfId="0" applyFont="1" applyFill="1" applyBorder="1"/>
    <xf numFmtId="180" fontId="9" fillId="11" borderId="18" xfId="0" applyNumberFormat="1" applyFont="1" applyFill="1" applyBorder="1" applyAlignment="1">
      <alignment horizontal="center"/>
    </xf>
    <xf numFmtId="167" fontId="9" fillId="11" borderId="29" xfId="0" applyFont="1" applyFill="1" applyBorder="1"/>
    <xf numFmtId="167" fontId="9" fillId="11" borderId="31" xfId="0" applyFont="1" applyFill="1" applyBorder="1"/>
    <xf numFmtId="180" fontId="9" fillId="11" borderId="32" xfId="0" applyNumberFormat="1" applyFont="1" applyFill="1" applyBorder="1" applyAlignment="1">
      <alignment horizontal="center"/>
    </xf>
    <xf numFmtId="167" fontId="0" fillId="13" borderId="2" xfId="0" applyFont="1" applyFill="1" applyBorder="1" applyAlignment="1">
      <alignment horizontal="left" indent="2"/>
    </xf>
    <xf numFmtId="167" fontId="0" fillId="13" borderId="2" xfId="0" applyFont="1" applyFill="1" applyBorder="1"/>
    <xf numFmtId="167" fontId="9" fillId="13" borderId="2" xfId="0" applyFont="1" applyFill="1" applyBorder="1"/>
    <xf numFmtId="180" fontId="0" fillId="13" borderId="2" xfId="0" applyNumberFormat="1" applyFont="1" applyFill="1" applyBorder="1"/>
    <xf numFmtId="167" fontId="0" fillId="6" borderId="2" xfId="0" applyFont="1" applyFill="1" applyBorder="1" applyAlignment="1">
      <alignment horizontal="left" indent="2"/>
    </xf>
    <xf numFmtId="167" fontId="0" fillId="6" borderId="2" xfId="0" applyFont="1" applyFill="1" applyBorder="1"/>
    <xf numFmtId="167" fontId="9" fillId="6" borderId="2" xfId="0" applyFont="1" applyFill="1" applyBorder="1"/>
    <xf numFmtId="180" fontId="0" fillId="6" borderId="2" xfId="0" applyNumberFormat="1" applyFont="1" applyFill="1" applyBorder="1"/>
    <xf numFmtId="167" fontId="0" fillId="0" borderId="10" xfId="0" applyFont="1" applyBorder="1" applyAlignment="1">
      <alignment horizontal="left" indent="2"/>
    </xf>
    <xf numFmtId="167" fontId="3" fillId="7" borderId="12" xfId="0" applyFont="1" applyFill="1" applyBorder="1" applyAlignment="1">
      <alignment vertical="center"/>
    </xf>
    <xf numFmtId="180" fontId="3" fillId="7" borderId="6" xfId="0" applyNumberFormat="1" applyFont="1" applyFill="1" applyBorder="1" applyAlignment="1">
      <alignment horizontal="right"/>
    </xf>
    <xf numFmtId="167" fontId="3" fillId="7" borderId="11" xfId="0" applyFont="1" applyFill="1" applyBorder="1"/>
    <xf numFmtId="167" fontId="40" fillId="0" borderId="33" xfId="0" applyFont="1" applyBorder="1" applyAlignment="1">
      <alignment vertical="center" wrapText="1"/>
    </xf>
    <xf numFmtId="167" fontId="40" fillId="0" borderId="34" xfId="0" applyFont="1" applyBorder="1" applyAlignment="1">
      <alignment vertical="center" wrapText="1"/>
    </xf>
    <xf numFmtId="2" fontId="3" fillId="2" borderId="11" xfId="0" applyNumberFormat="1" applyFont="1" applyFill="1" applyBorder="1" applyAlignment="1">
      <alignment horizontal="right" indent="1"/>
    </xf>
    <xf numFmtId="174" fontId="3" fillId="0" borderId="11" xfId="0" applyNumberFormat="1" applyFont="1" applyBorder="1" applyAlignment="1">
      <alignment horizontal="right"/>
    </xf>
    <xf numFmtId="180" fontId="6" fillId="2" borderId="11" xfId="0" applyNumberFormat="1" applyFont="1" applyFill="1" applyBorder="1" applyAlignment="1">
      <alignment horizontal="right"/>
    </xf>
    <xf numFmtId="2" fontId="6" fillId="2" borderId="11" xfId="0" applyNumberFormat="1" applyFont="1" applyFill="1" applyBorder="1" applyAlignment="1">
      <alignment horizontal="right"/>
    </xf>
    <xf numFmtId="164" fontId="4" fillId="2" borderId="4" xfId="0" applyNumberFormat="1" applyFont="1" applyFill="1" applyBorder="1" applyAlignment="1">
      <alignment horizontal="right"/>
    </xf>
    <xf numFmtId="174" fontId="3" fillId="2" borderId="0" xfId="0" applyNumberFormat="1" applyFont="1" applyFill="1" applyAlignment="1">
      <alignment horizontal="right"/>
    </xf>
    <xf numFmtId="169" fontId="3" fillId="2" borderId="0" xfId="0" applyNumberFormat="1" applyFont="1" applyFill="1" applyAlignment="1">
      <alignment horizontal="right"/>
    </xf>
    <xf numFmtId="176" fontId="3" fillId="2" borderId="0" xfId="0" applyNumberFormat="1" applyFont="1" applyFill="1" applyAlignment="1">
      <alignment horizontal="right"/>
    </xf>
    <xf numFmtId="174" fontId="28" fillId="2" borderId="0" xfId="0" applyNumberFormat="1" applyFont="1" applyFill="1" applyAlignment="1" applyProtection="1">
      <alignment horizontal="right"/>
      <protection locked="0"/>
    </xf>
    <xf numFmtId="176" fontId="28" fillId="2" borderId="0" xfId="0" applyNumberFormat="1" applyFont="1" applyFill="1" applyAlignment="1" applyProtection="1">
      <alignment horizontal="right"/>
      <protection locked="0"/>
    </xf>
    <xf numFmtId="164" fontId="3" fillId="2" borderId="0" xfId="0" applyNumberFormat="1" applyFont="1" applyFill="1" applyAlignment="1">
      <alignment horizontal="right"/>
    </xf>
    <xf numFmtId="165" fontId="3" fillId="2" borderId="0" xfId="1" applyFont="1" applyFill="1" applyAlignment="1">
      <alignment horizontal="right"/>
    </xf>
    <xf numFmtId="165" fontId="3" fillId="2" borderId="1" xfId="1" applyFont="1" applyFill="1" applyBorder="1" applyAlignment="1">
      <alignment horizontal="right"/>
    </xf>
    <xf numFmtId="174" fontId="3" fillId="2" borderId="11" xfId="0" applyNumberFormat="1" applyFont="1" applyFill="1" applyBorder="1" applyAlignment="1" applyProtection="1">
      <alignment horizontal="right"/>
      <protection locked="0"/>
    </xf>
    <xf numFmtId="180" fontId="3" fillId="2" borderId="11" xfId="0" applyNumberFormat="1" applyFont="1" applyFill="1" applyBorder="1" applyProtection="1">
      <protection locked="0"/>
    </xf>
    <xf numFmtId="167" fontId="3" fillId="2" borderId="0" xfId="0" applyFont="1" applyFill="1" applyBorder="1"/>
    <xf numFmtId="167" fontId="3" fillId="2" borderId="3" xfId="0" applyFont="1" applyFill="1" applyBorder="1" applyAlignment="1">
      <alignment horizontal="left"/>
    </xf>
    <xf numFmtId="168" fontId="6" fillId="0" borderId="14" xfId="0" applyNumberFormat="1" applyFont="1" applyBorder="1"/>
    <xf numFmtId="167" fontId="3" fillId="2" borderId="10" xfId="0" applyFont="1" applyFill="1" applyBorder="1" applyAlignment="1" applyProtection="1">
      <protection locked="0"/>
    </xf>
    <xf numFmtId="167" fontId="3" fillId="2" borderId="0" xfId="0" applyFont="1" applyFill="1" applyBorder="1" applyAlignment="1" applyProtection="1">
      <protection locked="0"/>
    </xf>
    <xf numFmtId="167" fontId="3" fillId="2" borderId="11" xfId="0" applyFont="1" applyFill="1" applyBorder="1" applyAlignment="1" applyProtection="1">
      <protection locked="0"/>
    </xf>
    <xf numFmtId="167" fontId="3" fillId="2" borderId="12" xfId="0" applyFont="1" applyFill="1" applyBorder="1" applyAlignment="1" applyProtection="1">
      <protection locked="0"/>
    </xf>
    <xf numFmtId="167" fontId="3" fillId="2" borderId="13" xfId="0" applyFont="1" applyFill="1" applyBorder="1" applyAlignment="1" applyProtection="1">
      <protection locked="0"/>
    </xf>
    <xf numFmtId="167" fontId="3" fillId="2" borderId="6" xfId="0" applyFont="1" applyFill="1" applyBorder="1" applyAlignment="1" applyProtection="1">
      <protection locked="0"/>
    </xf>
    <xf numFmtId="167" fontId="3" fillId="2" borderId="7" xfId="0" applyFont="1" applyFill="1" applyBorder="1" applyAlignment="1" applyProtection="1">
      <protection locked="0"/>
    </xf>
    <xf numFmtId="167" fontId="3" fillId="2" borderId="8" xfId="0" applyFont="1" applyFill="1" applyBorder="1" applyAlignment="1" applyProtection="1">
      <protection locked="0"/>
    </xf>
    <xf numFmtId="167" fontId="3" fillId="2" borderId="9" xfId="0" applyFont="1" applyFill="1" applyBorder="1" applyAlignment="1" applyProtection="1">
      <protection locked="0"/>
    </xf>
    <xf numFmtId="192" fontId="3" fillId="2" borderId="0" xfId="0" applyNumberFormat="1" applyFont="1" applyFill="1"/>
    <xf numFmtId="167" fontId="3" fillId="0" borderId="10" xfId="0" applyFont="1" applyFill="1" applyBorder="1" applyAlignment="1">
      <alignment horizontal="right"/>
    </xf>
    <xf numFmtId="164" fontId="3" fillId="0" borderId="11" xfId="0" applyNumberFormat="1" applyFont="1" applyFill="1" applyBorder="1" applyAlignment="1">
      <alignment horizontal="right"/>
    </xf>
    <xf numFmtId="175" fontId="3" fillId="0" borderId="11" xfId="0" applyNumberFormat="1" applyFont="1" applyFill="1" applyBorder="1" applyAlignment="1">
      <alignment horizontal="right"/>
    </xf>
    <xf numFmtId="164" fontId="3" fillId="0" borderId="15" xfId="0" applyNumberFormat="1" applyFont="1" applyFill="1" applyBorder="1" applyAlignment="1">
      <alignment horizontal="right"/>
    </xf>
    <xf numFmtId="167" fontId="3" fillId="0" borderId="10" xfId="0" applyFont="1" applyFill="1" applyBorder="1" applyAlignment="1">
      <alignment horizontal="left"/>
    </xf>
    <xf numFmtId="179" fontId="3" fillId="0" borderId="11" xfId="0" applyNumberFormat="1" applyFont="1" applyFill="1" applyBorder="1" applyAlignment="1">
      <alignment horizontal="right"/>
    </xf>
    <xf numFmtId="167" fontId="16" fillId="0" borderId="3" xfId="0" applyFont="1" applyFill="1" applyBorder="1" applyAlignment="1">
      <alignment horizontal="left"/>
    </xf>
    <xf numFmtId="179" fontId="16" fillId="0" borderId="4" xfId="0" applyNumberFormat="1" applyFont="1" applyFill="1" applyBorder="1" applyAlignment="1">
      <alignment horizontal="right"/>
    </xf>
    <xf numFmtId="174" fontId="3" fillId="2" borderId="0" xfId="0" applyNumberFormat="1" applyFont="1" applyFill="1" applyBorder="1" applyAlignment="1">
      <alignment horizontal="right" indent="1"/>
    </xf>
    <xf numFmtId="174" fontId="3" fillId="2" borderId="0" xfId="0" applyNumberFormat="1" applyFont="1" applyFill="1" applyBorder="1" applyAlignment="1">
      <alignment horizontal="right" vertical="top" indent="1"/>
    </xf>
    <xf numFmtId="165" fontId="3" fillId="2" borderId="0" xfId="1" applyFont="1" applyFill="1" applyBorder="1" applyAlignment="1">
      <alignment horizontal="right"/>
    </xf>
    <xf numFmtId="4" fontId="4" fillId="0" borderId="0" xfId="0" applyNumberFormat="1" applyFont="1" applyFill="1" applyBorder="1" applyAlignment="1" applyProtection="1">
      <alignment horizontal="right"/>
      <protection locked="0"/>
    </xf>
    <xf numFmtId="173" fontId="4" fillId="0" borderId="0" xfId="0" applyNumberFormat="1" applyFont="1" applyFill="1" applyBorder="1" applyAlignment="1" applyProtection="1">
      <alignment horizontal="right"/>
      <protection locked="0"/>
    </xf>
    <xf numFmtId="170" fontId="4" fillId="0" borderId="0" xfId="0" applyNumberFormat="1" applyFont="1" applyFill="1" applyBorder="1" applyAlignment="1" applyProtection="1">
      <alignment horizontal="right"/>
      <protection locked="0"/>
    </xf>
    <xf numFmtId="167" fontId="4" fillId="0" borderId="0" xfId="0" applyFont="1" applyFill="1" applyBorder="1" applyAlignment="1" applyProtection="1">
      <alignment horizontal="right"/>
      <protection locked="0"/>
    </xf>
    <xf numFmtId="171" fontId="4" fillId="0" borderId="0" xfId="0" applyNumberFormat="1" applyFont="1" applyFill="1" applyBorder="1" applyAlignment="1" applyProtection="1">
      <alignment horizontal="right"/>
      <protection locked="0"/>
    </xf>
    <xf numFmtId="10" fontId="3" fillId="2" borderId="11" xfId="2" applyNumberFormat="1" applyFont="1" applyFill="1" applyBorder="1" applyAlignment="1">
      <alignment horizontal="right" indent="1"/>
    </xf>
    <xf numFmtId="194" fontId="3" fillId="2" borderId="0" xfId="4" applyNumberFormat="1" applyFont="1" applyFill="1"/>
    <xf numFmtId="194" fontId="3" fillId="2" borderId="2" xfId="4" applyNumberFormat="1" applyFont="1" applyFill="1" applyBorder="1"/>
    <xf numFmtId="10" fontId="3" fillId="2" borderId="35" xfId="2" applyNumberFormat="1" applyFont="1" applyFill="1" applyBorder="1"/>
    <xf numFmtId="167" fontId="16" fillId="2" borderId="3" xfId="0" applyFont="1" applyFill="1" applyBorder="1"/>
    <xf numFmtId="4" fontId="16" fillId="2" borderId="4" xfId="0" applyNumberFormat="1" applyFont="1" applyFill="1" applyBorder="1"/>
    <xf numFmtId="167" fontId="3" fillId="2" borderId="0" xfId="0" applyFont="1" applyFill="1" applyBorder="1" applyAlignment="1">
      <alignment horizontal="right"/>
    </xf>
    <xf numFmtId="164" fontId="3" fillId="2" borderId="0" xfId="0" applyNumberFormat="1" applyFont="1" applyFill="1" applyBorder="1" applyAlignment="1">
      <alignment horizontal="right"/>
    </xf>
    <xf numFmtId="174" fontId="3" fillId="2" borderId="0" xfId="0" applyNumberFormat="1" applyFont="1" applyFill="1" applyBorder="1" applyAlignment="1">
      <alignment horizontal="right"/>
    </xf>
    <xf numFmtId="174" fontId="3" fillId="2" borderId="0" xfId="0" applyNumberFormat="1" applyFont="1" applyFill="1" applyBorder="1" applyAlignment="1" applyProtection="1">
      <alignment horizontal="right"/>
      <protection locked="0"/>
    </xf>
    <xf numFmtId="174" fontId="6" fillId="2" borderId="0" xfId="0" applyNumberFormat="1" applyFont="1" applyFill="1" applyBorder="1" applyAlignment="1">
      <alignment horizontal="right"/>
    </xf>
    <xf numFmtId="176" fontId="3" fillId="2" borderId="0" xfId="0" applyNumberFormat="1" applyFont="1" applyFill="1" applyBorder="1" applyAlignment="1">
      <alignment horizontal="right"/>
    </xf>
    <xf numFmtId="176" fontId="3" fillId="2" borderId="0" xfId="0" applyNumberFormat="1" applyFont="1" applyFill="1" applyBorder="1"/>
    <xf numFmtId="167" fontId="6" fillId="2" borderId="0" xfId="0" applyFont="1" applyFill="1" applyBorder="1" applyAlignment="1">
      <alignment horizontal="right"/>
    </xf>
    <xf numFmtId="189" fontId="3" fillId="2" borderId="0" xfId="0" applyNumberFormat="1" applyFont="1" applyFill="1" applyBorder="1" applyAlignment="1">
      <alignment horizontal="right"/>
    </xf>
    <xf numFmtId="175" fontId="3" fillId="0" borderId="0" xfId="0" applyNumberFormat="1" applyFont="1" applyBorder="1" applyAlignment="1">
      <alignment horizontal="right"/>
    </xf>
    <xf numFmtId="179" fontId="3" fillId="2" borderId="0" xfId="0" applyNumberFormat="1" applyFont="1" applyFill="1" applyBorder="1" applyAlignment="1">
      <alignment horizontal="right"/>
    </xf>
    <xf numFmtId="179" fontId="16" fillId="2" borderId="0" xfId="0" applyNumberFormat="1" applyFont="1" applyFill="1" applyBorder="1" applyAlignment="1">
      <alignment horizontal="right"/>
    </xf>
    <xf numFmtId="167" fontId="3" fillId="7" borderId="10" xfId="0" applyFont="1" applyFill="1" applyBorder="1" applyAlignment="1">
      <alignment horizontal="right"/>
    </xf>
    <xf numFmtId="189" fontId="3" fillId="7" borderId="11" xfId="0" applyNumberFormat="1" applyFont="1" applyFill="1" applyBorder="1" applyAlignment="1">
      <alignment horizontal="right"/>
    </xf>
    <xf numFmtId="175" fontId="3" fillId="7" borderId="11" xfId="0" applyNumberFormat="1" applyFont="1" applyFill="1" applyBorder="1" applyAlignment="1">
      <alignment horizontal="right"/>
    </xf>
    <xf numFmtId="164" fontId="3" fillId="7" borderId="15" xfId="0" applyNumberFormat="1" applyFont="1" applyFill="1" applyBorder="1" applyAlignment="1">
      <alignment horizontal="right"/>
    </xf>
    <xf numFmtId="167" fontId="4" fillId="2" borderId="3" xfId="0" applyFont="1" applyFill="1" applyBorder="1"/>
    <xf numFmtId="164" fontId="4" fillId="2" borderId="4" xfId="0" applyNumberFormat="1" applyFont="1" applyFill="1" applyBorder="1"/>
    <xf numFmtId="180" fontId="3" fillId="2" borderId="0" xfId="0" applyNumberFormat="1" applyFont="1" applyFill="1" applyBorder="1"/>
    <xf numFmtId="180" fontId="3" fillId="2" borderId="0" xfId="0" applyNumberFormat="1" applyFont="1" applyFill="1" applyBorder="1" applyProtection="1">
      <protection locked="0"/>
    </xf>
    <xf numFmtId="180" fontId="6" fillId="2" borderId="0" xfId="0" applyNumberFormat="1" applyFont="1" applyFill="1" applyBorder="1"/>
    <xf numFmtId="180" fontId="3" fillId="2" borderId="0" xfId="0" applyNumberFormat="1" applyFont="1" applyFill="1" applyBorder="1" applyAlignment="1">
      <alignment horizontal="right"/>
    </xf>
    <xf numFmtId="180" fontId="6" fillId="2" borderId="0" xfId="0" applyNumberFormat="1" applyFont="1" applyFill="1" applyBorder="1" applyAlignment="1">
      <alignment horizontal="right"/>
    </xf>
    <xf numFmtId="2" fontId="6" fillId="2" borderId="0" xfId="0" applyNumberFormat="1" applyFont="1" applyFill="1" applyBorder="1" applyAlignment="1">
      <alignment horizontal="right"/>
    </xf>
    <xf numFmtId="2" fontId="3" fillId="2" borderId="0" xfId="0" applyNumberFormat="1" applyFont="1" applyFill="1" applyBorder="1" applyAlignment="1">
      <alignment horizontal="right"/>
    </xf>
    <xf numFmtId="167" fontId="4" fillId="7" borderId="3" xfId="0" applyFont="1" applyFill="1" applyBorder="1" applyAlignment="1">
      <alignment horizontal="left"/>
    </xf>
    <xf numFmtId="164" fontId="4" fillId="7" borderId="4" xfId="0" applyNumberFormat="1" applyFont="1" applyFill="1" applyBorder="1"/>
    <xf numFmtId="174" fontId="3" fillId="2" borderId="0" xfId="0" applyNumberFormat="1" applyFont="1" applyFill="1" applyBorder="1"/>
    <xf numFmtId="174" fontId="3" fillId="7" borderId="0" xfId="0" applyNumberFormat="1" applyFont="1" applyFill="1" applyBorder="1"/>
    <xf numFmtId="170" fontId="3" fillId="2" borderId="0" xfId="0" applyNumberFormat="1" applyFont="1" applyFill="1" applyBorder="1"/>
    <xf numFmtId="2" fontId="3" fillId="7" borderId="0" xfId="0" applyNumberFormat="1" applyFont="1" applyFill="1" applyBorder="1" applyAlignment="1">
      <alignment horizontal="right"/>
    </xf>
    <xf numFmtId="10" fontId="3" fillId="2" borderId="0" xfId="0" applyNumberFormat="1" applyFont="1" applyFill="1" applyBorder="1"/>
    <xf numFmtId="174" fontId="3" fillId="7" borderId="0" xfId="0" applyNumberFormat="1" applyFont="1" applyFill="1" applyBorder="1" applyAlignment="1">
      <alignment horizontal="right"/>
    </xf>
    <xf numFmtId="193" fontId="3" fillId="2" borderId="9" xfId="4" applyNumberFormat="1" applyFont="1" applyFill="1" applyBorder="1"/>
    <xf numFmtId="193" fontId="3" fillId="0" borderId="11" xfId="4" applyNumberFormat="1" applyFont="1" applyFill="1" applyBorder="1" applyAlignment="1">
      <alignment horizontal="right"/>
    </xf>
    <xf numFmtId="193" fontId="3" fillId="2" borderId="11" xfId="4" applyNumberFormat="1" applyFont="1" applyFill="1" applyBorder="1" applyAlignment="1">
      <alignment horizontal="right"/>
    </xf>
    <xf numFmtId="193" fontId="3" fillId="2" borderId="6" xfId="4" applyNumberFormat="1" applyFont="1" applyFill="1" applyBorder="1" applyAlignment="1">
      <alignment horizontal="right"/>
    </xf>
    <xf numFmtId="10" fontId="3" fillId="2" borderId="11" xfId="2" applyNumberFormat="1" applyFont="1" applyFill="1" applyBorder="1" applyAlignment="1">
      <alignment horizontal="right"/>
    </xf>
    <xf numFmtId="193" fontId="3" fillId="2" borderId="6" xfId="4" applyNumberFormat="1" applyFont="1" applyFill="1" applyBorder="1" applyAlignment="1">
      <alignment horizontal="right" indent="1"/>
    </xf>
    <xf numFmtId="193" fontId="3" fillId="2" borderId="6" xfId="4" applyNumberFormat="1" applyFont="1" applyFill="1" applyBorder="1"/>
    <xf numFmtId="193" fontId="3" fillId="2" borderId="11" xfId="4" applyNumberFormat="1" applyFont="1" applyFill="1" applyBorder="1" applyAlignment="1">
      <alignment horizontal="right" indent="1"/>
    </xf>
    <xf numFmtId="194" fontId="3" fillId="2" borderId="11" xfId="4" applyNumberFormat="1" applyFont="1" applyFill="1" applyBorder="1" applyAlignment="1">
      <alignment horizontal="right" indent="1"/>
    </xf>
    <xf numFmtId="194" fontId="3" fillId="2" borderId="11" xfId="4" applyNumberFormat="1" applyFont="1" applyFill="1" applyBorder="1" applyAlignment="1">
      <alignment horizontal="right" vertical="top" indent="1"/>
    </xf>
    <xf numFmtId="194" fontId="3" fillId="2" borderId="6" xfId="4" applyNumberFormat="1" applyFont="1" applyFill="1" applyBorder="1" applyAlignment="1">
      <alignment horizontal="right" indent="1"/>
    </xf>
    <xf numFmtId="193" fontId="3" fillId="2" borderId="11" xfId="4" applyNumberFormat="1" applyFont="1" applyFill="1" applyBorder="1"/>
    <xf numFmtId="193" fontId="3" fillId="7" borderId="11" xfId="4" applyNumberFormat="1" applyFont="1" applyFill="1" applyBorder="1"/>
    <xf numFmtId="193" fontId="3" fillId="7" borderId="11" xfId="4" applyNumberFormat="1" applyFont="1" applyFill="1" applyBorder="1" applyAlignment="1">
      <alignment horizontal="right"/>
    </xf>
    <xf numFmtId="193" fontId="3" fillId="7" borderId="6" xfId="4" applyNumberFormat="1" applyFont="1" applyFill="1" applyBorder="1" applyAlignment="1">
      <alignment horizontal="right"/>
    </xf>
    <xf numFmtId="10" fontId="3" fillId="2" borderId="11" xfId="2" applyNumberFormat="1" applyFont="1" applyFill="1" applyBorder="1"/>
    <xf numFmtId="180" fontId="3" fillId="7" borderId="0" xfId="0" applyNumberFormat="1" applyFont="1" applyFill="1" applyBorder="1" applyAlignment="1">
      <alignment horizontal="right"/>
    </xf>
    <xf numFmtId="180" fontId="6" fillId="7" borderId="0" xfId="0" applyNumberFormat="1" applyFont="1" applyFill="1" applyBorder="1" applyAlignment="1">
      <alignment horizontal="right"/>
    </xf>
    <xf numFmtId="191" fontId="3" fillId="7" borderId="0" xfId="0" applyNumberFormat="1" applyFont="1" applyFill="1" applyBorder="1" applyAlignment="1">
      <alignment horizontal="right"/>
    </xf>
    <xf numFmtId="2" fontId="6" fillId="7" borderId="0" xfId="0" applyNumberFormat="1" applyFont="1" applyFill="1" applyBorder="1" applyAlignment="1">
      <alignment horizontal="right"/>
    </xf>
    <xf numFmtId="164" fontId="4" fillId="2" borderId="0" xfId="0" applyNumberFormat="1" applyFont="1" applyFill="1" applyBorder="1" applyAlignment="1">
      <alignment horizontal="right"/>
    </xf>
    <xf numFmtId="178" fontId="4" fillId="7" borderId="4" xfId="0" applyNumberFormat="1" applyFont="1" applyFill="1" applyBorder="1"/>
    <xf numFmtId="165" fontId="4" fillId="7" borderId="4" xfId="1" applyFont="1" applyFill="1" applyBorder="1"/>
    <xf numFmtId="193" fontId="3" fillId="2" borderId="11" xfId="4" applyNumberFormat="1" applyFont="1" applyFill="1" applyBorder="1" applyAlignment="1">
      <alignment horizontal="right" vertical="top"/>
    </xf>
    <xf numFmtId="193" fontId="3" fillId="2" borderId="9" xfId="4" applyNumberFormat="1" applyFont="1" applyFill="1" applyBorder="1" applyAlignment="1" applyProtection="1">
      <alignment horizontal="right"/>
      <protection locked="0"/>
    </xf>
    <xf numFmtId="165" fontId="4" fillId="2" borderId="4" xfId="1" applyFont="1" applyFill="1" applyBorder="1"/>
    <xf numFmtId="184" fontId="4" fillId="6" borderId="36" xfId="0" applyNumberFormat="1" applyFont="1" applyFill="1" applyBorder="1" applyAlignment="1" applyProtection="1">
      <alignment horizontal="right"/>
      <protection locked="0"/>
    </xf>
    <xf numFmtId="2" fontId="4" fillId="6" borderId="37" xfId="0" applyNumberFormat="1" applyFont="1" applyFill="1" applyBorder="1" applyAlignment="1" applyProtection="1">
      <alignment horizontal="right"/>
      <protection locked="0"/>
    </xf>
    <xf numFmtId="166" fontId="4" fillId="6" borderId="37" xfId="4" applyFont="1" applyFill="1" applyBorder="1" applyAlignment="1" applyProtection="1">
      <alignment horizontal="right"/>
      <protection locked="0"/>
    </xf>
    <xf numFmtId="173" fontId="4" fillId="6" borderId="37" xfId="0" applyNumberFormat="1" applyFont="1" applyFill="1" applyBorder="1" applyAlignment="1" applyProtection="1">
      <alignment horizontal="right"/>
      <protection locked="0"/>
    </xf>
    <xf numFmtId="170" fontId="4" fillId="6" borderId="37" xfId="0" applyNumberFormat="1" applyFont="1" applyFill="1" applyBorder="1" applyAlignment="1" applyProtection="1">
      <alignment horizontal="right"/>
      <protection locked="0"/>
    </xf>
    <xf numFmtId="167" fontId="4" fillId="6" borderId="37" xfId="0" applyFont="1" applyFill="1" applyBorder="1" applyAlignment="1" applyProtection="1">
      <alignment horizontal="right"/>
      <protection locked="0"/>
    </xf>
    <xf numFmtId="171" fontId="4" fillId="6" borderId="37" xfId="0" applyNumberFormat="1" applyFont="1" applyFill="1" applyBorder="1" applyAlignment="1" applyProtection="1">
      <alignment horizontal="right"/>
      <protection locked="0"/>
    </xf>
    <xf numFmtId="2" fontId="4" fillId="6" borderId="38" xfId="0" applyNumberFormat="1" applyFont="1" applyFill="1" applyBorder="1" applyAlignment="1" applyProtection="1">
      <alignment horizontal="right"/>
      <protection locked="0"/>
    </xf>
    <xf numFmtId="167" fontId="3" fillId="6" borderId="36" xfId="0" applyFont="1" applyFill="1" applyBorder="1" applyAlignment="1" applyProtection="1">
      <alignment horizontal="right"/>
      <protection locked="0"/>
    </xf>
    <xf numFmtId="2" fontId="3" fillId="6" borderId="37" xfId="0" applyNumberFormat="1" applyFont="1" applyFill="1" applyBorder="1" applyAlignment="1" applyProtection="1">
      <alignment horizontal="right"/>
      <protection locked="0"/>
    </xf>
    <xf numFmtId="166" fontId="3" fillId="6" borderId="37" xfId="4" applyFont="1" applyFill="1" applyBorder="1" applyAlignment="1" applyProtection="1">
      <alignment horizontal="right"/>
      <protection locked="0"/>
    </xf>
    <xf numFmtId="173" fontId="3" fillId="6" borderId="37" xfId="0" applyNumberFormat="1" applyFont="1" applyFill="1" applyBorder="1" applyAlignment="1" applyProtection="1">
      <alignment horizontal="right"/>
      <protection locked="0"/>
    </xf>
    <xf numFmtId="170" fontId="3" fillId="6" borderId="37" xfId="0" applyNumberFormat="1" applyFont="1" applyFill="1" applyBorder="1" applyAlignment="1" applyProtection="1">
      <alignment horizontal="right"/>
      <protection locked="0"/>
    </xf>
    <xf numFmtId="167" fontId="3" fillId="6" borderId="37" xfId="0" applyFont="1" applyFill="1" applyBorder="1" applyAlignment="1" applyProtection="1">
      <alignment horizontal="right"/>
      <protection locked="0"/>
    </xf>
    <xf numFmtId="10" fontId="3" fillId="6" borderId="38" xfId="0" applyNumberFormat="1" applyFont="1" applyFill="1" applyBorder="1" applyAlignment="1" applyProtection="1">
      <alignment horizontal="right"/>
      <protection locked="0"/>
    </xf>
    <xf numFmtId="167" fontId="4" fillId="6" borderId="39" xfId="0" applyFont="1" applyFill="1" applyBorder="1" applyAlignment="1" applyProtection="1">
      <alignment horizontal="right"/>
      <protection locked="0"/>
    </xf>
    <xf numFmtId="2" fontId="4" fillId="6" borderId="40" xfId="0" applyNumberFormat="1" applyFont="1" applyFill="1" applyBorder="1" applyAlignment="1" applyProtection="1">
      <alignment horizontal="right"/>
      <protection locked="0"/>
    </xf>
    <xf numFmtId="166" fontId="4" fillId="6" borderId="40" xfId="4" applyFont="1" applyFill="1" applyBorder="1" applyAlignment="1" applyProtection="1">
      <alignment horizontal="right"/>
      <protection locked="0"/>
    </xf>
    <xf numFmtId="173" fontId="4" fillId="6" borderId="40" xfId="0" applyNumberFormat="1" applyFont="1" applyFill="1" applyBorder="1" applyAlignment="1" applyProtection="1">
      <alignment horizontal="right"/>
      <protection locked="0"/>
    </xf>
    <xf numFmtId="170" fontId="4" fillId="6" borderId="40" xfId="0" applyNumberFormat="1" applyFont="1" applyFill="1" applyBorder="1" applyAlignment="1" applyProtection="1">
      <alignment horizontal="right"/>
      <protection locked="0"/>
    </xf>
    <xf numFmtId="167" fontId="4" fillId="6" borderId="40" xfId="0" applyFont="1" applyFill="1" applyBorder="1" applyAlignment="1" applyProtection="1">
      <alignment horizontal="right"/>
      <protection locked="0"/>
    </xf>
    <xf numFmtId="10" fontId="4" fillId="6" borderId="41" xfId="0" applyNumberFormat="1" applyFont="1" applyFill="1" applyBorder="1" applyAlignment="1" applyProtection="1">
      <alignment horizontal="right"/>
      <protection locked="0"/>
    </xf>
    <xf numFmtId="180" fontId="4" fillId="6" borderId="39" xfId="0" applyNumberFormat="1" applyFont="1" applyFill="1" applyBorder="1" applyAlignment="1" applyProtection="1">
      <alignment horizontal="right"/>
      <protection locked="0"/>
    </xf>
    <xf numFmtId="166" fontId="4" fillId="6" borderId="40" xfId="4" applyFont="1" applyFill="1" applyBorder="1" applyProtection="1">
      <protection locked="0"/>
    </xf>
    <xf numFmtId="174" fontId="4" fillId="6" borderId="40" xfId="0" applyNumberFormat="1" applyFont="1" applyFill="1" applyBorder="1" applyProtection="1">
      <protection locked="0"/>
    </xf>
    <xf numFmtId="170" fontId="4" fillId="6" borderId="40" xfId="0" applyNumberFormat="1" applyFont="1" applyFill="1" applyBorder="1" applyProtection="1">
      <protection locked="0"/>
    </xf>
    <xf numFmtId="167" fontId="4" fillId="6" borderId="40" xfId="0" applyFont="1" applyFill="1" applyBorder="1" applyProtection="1">
      <protection locked="0"/>
    </xf>
    <xf numFmtId="10" fontId="4" fillId="6" borderId="41" xfId="0" applyNumberFormat="1" applyFont="1" applyFill="1" applyBorder="1" applyProtection="1">
      <protection locked="0"/>
    </xf>
    <xf numFmtId="164" fontId="29" fillId="6" borderId="39" xfId="0" applyNumberFormat="1" applyFont="1" applyFill="1" applyBorder="1" applyAlignment="1" applyProtection="1">
      <alignment horizontal="right"/>
      <protection locked="0"/>
    </xf>
    <xf numFmtId="174" fontId="4" fillId="6" borderId="40" xfId="0" applyNumberFormat="1" applyFont="1" applyFill="1" applyBorder="1" applyAlignment="1" applyProtection="1">
      <alignment horizontal="right"/>
      <protection locked="0"/>
    </xf>
    <xf numFmtId="184" fontId="4" fillId="6" borderId="39" xfId="0" applyNumberFormat="1" applyFont="1" applyFill="1" applyBorder="1" applyAlignment="1" applyProtection="1">
      <alignment horizontal="right"/>
      <protection locked="0"/>
    </xf>
    <xf numFmtId="4" fontId="4" fillId="6" borderId="40" xfId="0" applyNumberFormat="1" applyFont="1" applyFill="1" applyBorder="1" applyAlignment="1" applyProtection="1">
      <alignment horizontal="right"/>
      <protection locked="0"/>
    </xf>
    <xf numFmtId="171" fontId="4" fillId="6" borderId="40" xfId="0" applyNumberFormat="1" applyFont="1" applyFill="1" applyBorder="1" applyAlignment="1" applyProtection="1">
      <alignment horizontal="right"/>
      <protection locked="0"/>
    </xf>
    <xf numFmtId="164" fontId="6" fillId="2" borderId="0" xfId="0" applyNumberFormat="1" applyFont="1" applyFill="1" applyBorder="1" applyAlignment="1">
      <alignment horizontal="right"/>
    </xf>
    <xf numFmtId="164" fontId="3" fillId="2" borderId="0" xfId="0" applyNumberFormat="1" applyFont="1" applyFill="1" applyBorder="1"/>
    <xf numFmtId="164" fontId="3" fillId="0" borderId="0" xfId="0" applyNumberFormat="1" applyFont="1" applyBorder="1" applyAlignment="1">
      <alignment horizontal="right"/>
    </xf>
    <xf numFmtId="164" fontId="3" fillId="2" borderId="11" xfId="0" applyNumberFormat="1" applyFont="1" applyFill="1" applyBorder="1" applyAlignment="1" applyProtection="1">
      <alignment horizontal="right"/>
      <protection locked="0"/>
    </xf>
    <xf numFmtId="164" fontId="4" fillId="6" borderId="40" xfId="0" applyNumberFormat="1" applyFont="1" applyFill="1" applyBorder="1" applyAlignment="1" applyProtection="1">
      <alignment horizontal="right"/>
      <protection locked="0"/>
    </xf>
    <xf numFmtId="175" fontId="4" fillId="6" borderId="40" xfId="0" applyNumberFormat="1" applyFont="1" applyFill="1" applyBorder="1" applyAlignment="1" applyProtection="1">
      <alignment horizontal="right"/>
      <protection locked="0"/>
    </xf>
    <xf numFmtId="2" fontId="3" fillId="2" borderId="0" xfId="0" applyNumberFormat="1" applyFont="1" applyFill="1" applyBorder="1"/>
    <xf numFmtId="2" fontId="6" fillId="2" borderId="0" xfId="0" applyNumberFormat="1" applyFont="1" applyFill="1" applyBorder="1"/>
    <xf numFmtId="165" fontId="16" fillId="2" borderId="4" xfId="1" applyFont="1" applyFill="1" applyBorder="1" applyAlignment="1">
      <alignment horizontal="right"/>
    </xf>
    <xf numFmtId="2" fontId="6" fillId="2" borderId="11" xfId="0" applyNumberFormat="1" applyFont="1" applyFill="1" applyBorder="1" applyAlignment="1">
      <alignment horizontal="right" indent="1"/>
    </xf>
    <xf numFmtId="180" fontId="3" fillId="2" borderId="24" xfId="0" applyNumberFormat="1" applyFont="1" applyFill="1" applyBorder="1" applyAlignment="1">
      <alignment horizontal="right"/>
    </xf>
    <xf numFmtId="180" fontId="3" fillId="2" borderId="28" xfId="0" applyNumberFormat="1" applyFont="1" applyFill="1" applyBorder="1" applyAlignment="1">
      <alignment horizontal="right"/>
    </xf>
    <xf numFmtId="180" fontId="3" fillId="2" borderId="11" xfId="0" applyNumberFormat="1" applyFont="1" applyFill="1" applyBorder="1" applyAlignment="1" applyProtection="1">
      <alignment horizontal="right"/>
      <protection locked="0"/>
    </xf>
    <xf numFmtId="167" fontId="0" fillId="7" borderId="0" xfId="0" applyFill="1" applyProtection="1">
      <protection locked="0"/>
    </xf>
    <xf numFmtId="174" fontId="3" fillId="7" borderId="2" xfId="0" applyNumberFormat="1" applyFont="1" applyFill="1" applyBorder="1" applyAlignment="1" applyProtection="1">
      <protection locked="0"/>
    </xf>
    <xf numFmtId="174" fontId="3" fillId="7" borderId="2" xfId="0" applyNumberFormat="1" applyFont="1" applyFill="1" applyBorder="1" applyAlignment="1" applyProtection="1">
      <alignment horizontal="left"/>
      <protection locked="0"/>
    </xf>
    <xf numFmtId="167" fontId="3" fillId="7" borderId="2" xfId="0" applyFont="1" applyFill="1" applyBorder="1" applyAlignment="1" applyProtection="1">
      <protection locked="0"/>
    </xf>
    <xf numFmtId="167" fontId="3" fillId="7" borderId="2" xfId="0" applyFont="1" applyFill="1" applyBorder="1" applyAlignment="1" applyProtection="1">
      <alignment horizontal="left"/>
      <protection locked="0"/>
    </xf>
    <xf numFmtId="167" fontId="41" fillId="12" borderId="2" xfId="0" applyFont="1" applyFill="1" applyBorder="1" applyAlignment="1" applyProtection="1">
      <alignment horizontal="center"/>
      <protection locked="0"/>
    </xf>
    <xf numFmtId="166" fontId="3" fillId="7" borderId="0" xfId="4" applyFont="1" applyFill="1" applyBorder="1" applyAlignment="1">
      <alignment horizontal="right"/>
    </xf>
    <xf numFmtId="193" fontId="3" fillId="2" borderId="9" xfId="4" applyNumberFormat="1" applyFont="1" applyFill="1" applyBorder="1" applyAlignment="1" applyProtection="1">
      <alignment horizontal="right" indent="1"/>
      <protection locked="0"/>
    </xf>
    <xf numFmtId="193" fontId="3" fillId="2" borderId="9" xfId="4" applyNumberFormat="1" applyFont="1" applyFill="1" applyBorder="1" applyProtection="1">
      <protection locked="0"/>
    </xf>
    <xf numFmtId="174" fontId="3" fillId="7" borderId="11" xfId="0" applyNumberFormat="1" applyFont="1" applyFill="1" applyBorder="1" applyAlignment="1" applyProtection="1">
      <alignment horizontal="right"/>
      <protection locked="0"/>
    </xf>
    <xf numFmtId="195" fontId="3" fillId="2" borderId="35" xfId="4" applyNumberFormat="1" applyFont="1" applyFill="1" applyBorder="1"/>
    <xf numFmtId="166" fontId="4" fillId="6" borderId="41" xfId="4" applyFont="1" applyFill="1" applyBorder="1" applyAlignment="1" applyProtection="1">
      <alignment horizontal="right"/>
      <protection locked="0"/>
    </xf>
    <xf numFmtId="166" fontId="4" fillId="6" borderId="41" xfId="4" applyFont="1" applyFill="1" applyBorder="1" applyProtection="1">
      <protection locked="0"/>
    </xf>
    <xf numFmtId="196" fontId="3" fillId="2" borderId="0" xfId="4" applyNumberFormat="1" applyFont="1" applyFill="1"/>
    <xf numFmtId="10" fontId="4" fillId="6" borderId="41" xfId="2" applyNumberFormat="1" applyFont="1" applyFill="1" applyBorder="1" applyAlignment="1" applyProtection="1">
      <alignment horizontal="right"/>
      <protection locked="0"/>
    </xf>
    <xf numFmtId="167" fontId="34" fillId="12" borderId="0" xfId="0" applyFont="1" applyFill="1" applyBorder="1"/>
    <xf numFmtId="180" fontId="3" fillId="0" borderId="11" xfId="0" applyNumberFormat="1" applyFont="1" applyFill="1" applyBorder="1" applyAlignment="1">
      <alignment horizontal="right"/>
    </xf>
    <xf numFmtId="167" fontId="3" fillId="7" borderId="10" xfId="0" applyFont="1" applyFill="1" applyBorder="1" applyAlignment="1">
      <alignment horizontal="left" indent="6"/>
    </xf>
    <xf numFmtId="167" fontId="3" fillId="2" borderId="10" xfId="0" applyFont="1" applyFill="1" applyBorder="1" applyAlignment="1">
      <alignment horizontal="left" indent="6"/>
    </xf>
    <xf numFmtId="167" fontId="6" fillId="2" borderId="24" xfId="0" applyFont="1" applyFill="1" applyBorder="1" applyAlignment="1">
      <alignment horizontal="right"/>
    </xf>
    <xf numFmtId="167" fontId="0" fillId="0" borderId="0" xfId="0" applyBorder="1"/>
    <xf numFmtId="167" fontId="0" fillId="0" borderId="42" xfId="0" applyFont="1" applyFill="1" applyBorder="1"/>
    <xf numFmtId="167" fontId="0" fillId="0" borderId="26" xfId="0" applyFont="1" applyFill="1" applyBorder="1"/>
    <xf numFmtId="167" fontId="0" fillId="0" borderId="27" xfId="0" applyFont="1" applyFill="1" applyBorder="1"/>
    <xf numFmtId="167" fontId="44" fillId="0" borderId="0" xfId="0" applyFont="1"/>
    <xf numFmtId="166" fontId="3" fillId="2" borderId="0" xfId="4" applyFont="1" applyFill="1"/>
    <xf numFmtId="2" fontId="6" fillId="7" borderId="43" xfId="0" applyNumberFormat="1" applyFont="1" applyFill="1" applyBorder="1" applyAlignment="1">
      <alignment horizontal="right"/>
    </xf>
    <xf numFmtId="2" fontId="6" fillId="14" borderId="44" xfId="0" applyNumberFormat="1" applyFont="1" applyFill="1" applyBorder="1" applyAlignment="1">
      <alignment horizontal="right"/>
    </xf>
    <xf numFmtId="167" fontId="3" fillId="2" borderId="45" xfId="0" applyFont="1" applyFill="1" applyBorder="1" applyAlignment="1">
      <alignment horizontal="right"/>
    </xf>
    <xf numFmtId="166" fontId="3" fillId="2" borderId="46" xfId="4" applyFont="1" applyFill="1" applyBorder="1" applyAlignment="1">
      <alignment horizontal="right"/>
    </xf>
    <xf numFmtId="166" fontId="3" fillId="2" borderId="46" xfId="4" applyFont="1" applyFill="1" applyBorder="1"/>
    <xf numFmtId="167" fontId="3" fillId="2" borderId="46" xfId="0" applyFont="1" applyFill="1" applyBorder="1" applyAlignment="1">
      <alignment horizontal="right"/>
    </xf>
    <xf numFmtId="2" fontId="3" fillId="7" borderId="45" xfId="0" applyNumberFormat="1" applyFont="1" applyFill="1" applyBorder="1" applyAlignment="1">
      <alignment horizontal="right"/>
    </xf>
    <xf numFmtId="2" fontId="3" fillId="7" borderId="46" xfId="0" applyNumberFormat="1" applyFont="1" applyFill="1" applyBorder="1" applyAlignment="1">
      <alignment horizontal="right"/>
    </xf>
    <xf numFmtId="180" fontId="3" fillId="7" borderId="46" xfId="0" applyNumberFormat="1" applyFont="1" applyFill="1" applyBorder="1" applyAlignment="1">
      <alignment horizontal="right"/>
    </xf>
    <xf numFmtId="167" fontId="4" fillId="2" borderId="47" xfId="0" applyFont="1" applyFill="1" applyBorder="1" applyAlignment="1">
      <alignment horizontal="right"/>
    </xf>
    <xf numFmtId="166" fontId="4" fillId="0" borderId="35" xfId="4" applyFont="1" applyFill="1" applyBorder="1" applyAlignment="1">
      <alignment horizontal="right"/>
    </xf>
    <xf numFmtId="166" fontId="3" fillId="2" borderId="35" xfId="4" applyFont="1" applyFill="1" applyBorder="1" applyAlignment="1">
      <alignment horizontal="right"/>
    </xf>
    <xf numFmtId="167" fontId="0" fillId="15" borderId="0" xfId="0" applyFill="1"/>
    <xf numFmtId="167" fontId="10" fillId="0" borderId="8" xfId="3" applyNumberFormat="1" applyBorder="1"/>
    <xf numFmtId="167" fontId="23" fillId="0" borderId="0" xfId="0" applyFont="1" applyFill="1"/>
    <xf numFmtId="167" fontId="0" fillId="0" borderId="0" xfId="0" applyFill="1"/>
    <xf numFmtId="167" fontId="0" fillId="0" borderId="11" xfId="0" applyFill="1" applyBorder="1"/>
    <xf numFmtId="167" fontId="23" fillId="0" borderId="11" xfId="0" applyFont="1" applyFill="1" applyBorder="1"/>
    <xf numFmtId="185" fontId="0" fillId="0" borderId="11" xfId="0" applyNumberFormat="1" applyFill="1" applyBorder="1"/>
    <xf numFmtId="174" fontId="4" fillId="0" borderId="0" xfId="0" applyNumberFormat="1" applyFont="1" applyFill="1" applyAlignment="1">
      <alignment horizontal="right"/>
    </xf>
    <xf numFmtId="167" fontId="0" fillId="0" borderId="13" xfId="0" applyFill="1" applyBorder="1"/>
    <xf numFmtId="185" fontId="0" fillId="0" borderId="6" xfId="0" applyNumberFormat="1" applyFill="1" applyBorder="1"/>
    <xf numFmtId="167" fontId="0" fillId="0" borderId="10" xfId="0" applyBorder="1" applyAlignment="1">
      <alignment horizontal="left"/>
    </xf>
    <xf numFmtId="167" fontId="0" fillId="9" borderId="0" xfId="0" applyFill="1"/>
    <xf numFmtId="167" fontId="9" fillId="9" borderId="2" xfId="0" applyFont="1" applyFill="1" applyBorder="1"/>
    <xf numFmtId="180" fontId="9" fillId="9" borderId="18" xfId="0" applyNumberFormat="1" applyFont="1" applyFill="1" applyBorder="1" applyAlignment="1">
      <alignment horizontal="center"/>
    </xf>
    <xf numFmtId="180" fontId="9" fillId="9" borderId="17" xfId="0" applyNumberFormat="1" applyFont="1" applyFill="1" applyBorder="1" applyAlignment="1">
      <alignment horizontal="center"/>
    </xf>
    <xf numFmtId="167" fontId="11" fillId="9" borderId="0" xfId="0" applyFont="1" applyFill="1"/>
    <xf numFmtId="167" fontId="45" fillId="0" borderId="11" xfId="0" applyFont="1" applyFill="1" applyBorder="1"/>
    <xf numFmtId="185" fontId="46" fillId="0" borderId="11" xfId="0" applyNumberFormat="1" applyFont="1" applyFill="1" applyBorder="1"/>
    <xf numFmtId="167" fontId="0" fillId="16" borderId="0" xfId="0" applyFill="1" applyAlignment="1">
      <alignment horizontal="left" indent="2"/>
    </xf>
    <xf numFmtId="167" fontId="11" fillId="16" borderId="0" xfId="0" applyFont="1" applyFill="1"/>
    <xf numFmtId="167" fontId="11" fillId="16" borderId="0" xfId="0" applyFont="1" applyFill="1" applyAlignment="1">
      <alignment horizontal="center"/>
    </xf>
    <xf numFmtId="167" fontId="27" fillId="16" borderId="10" xfId="0" applyFont="1" applyFill="1" applyBorder="1"/>
    <xf numFmtId="167" fontId="0" fillId="16" borderId="0" xfId="0" applyFill="1"/>
    <xf numFmtId="168" fontId="16" fillId="0" borderId="0" xfId="0" applyNumberFormat="1" applyFont="1" applyFill="1" applyBorder="1" applyAlignment="1">
      <alignment horizontal="left"/>
    </xf>
    <xf numFmtId="168" fontId="6" fillId="0" borderId="0" xfId="0" applyNumberFormat="1" applyFont="1" applyFill="1" applyBorder="1"/>
    <xf numFmtId="167" fontId="3" fillId="0" borderId="0" xfId="0" applyFont="1" applyFill="1" applyBorder="1"/>
    <xf numFmtId="168" fontId="3" fillId="0" borderId="0" xfId="0" applyNumberFormat="1" applyFont="1" applyFill="1" applyBorder="1" applyAlignment="1">
      <alignment horizontal="left"/>
    </xf>
    <xf numFmtId="164" fontId="4" fillId="0" borderId="0" xfId="0" applyNumberFormat="1" applyFont="1" applyFill="1" applyBorder="1" applyAlignment="1">
      <alignment horizontal="right"/>
    </xf>
    <xf numFmtId="168" fontId="3" fillId="0" borderId="0" xfId="0" applyNumberFormat="1" applyFont="1" applyFill="1" applyBorder="1"/>
    <xf numFmtId="183" fontId="3" fillId="0" borderId="0" xfId="0" applyNumberFormat="1" applyFont="1" applyFill="1" applyBorder="1" applyAlignment="1">
      <alignment horizontal="right"/>
    </xf>
    <xf numFmtId="0" fontId="3" fillId="0" borderId="0" xfId="0" applyNumberFormat="1" applyFont="1" applyFill="1" applyBorder="1"/>
    <xf numFmtId="168" fontId="4" fillId="0" borderId="0" xfId="0" applyNumberFormat="1" applyFont="1" applyFill="1" applyBorder="1" applyAlignment="1">
      <alignment horizontal="left"/>
    </xf>
    <xf numFmtId="165" fontId="4" fillId="0" borderId="0" xfId="1" applyFont="1" applyFill="1" applyBorder="1" applyAlignment="1">
      <alignment horizontal="right"/>
    </xf>
    <xf numFmtId="168" fontId="16" fillId="0" borderId="3" xfId="0" applyNumberFormat="1" applyFont="1" applyFill="1" applyBorder="1" applyAlignment="1">
      <alignment horizontal="left"/>
    </xf>
    <xf numFmtId="178" fontId="3" fillId="2" borderId="0" xfId="0" applyNumberFormat="1" applyFont="1" applyFill="1" applyBorder="1" applyAlignment="1">
      <alignment horizontal="center"/>
    </xf>
    <xf numFmtId="188" fontId="3" fillId="2" borderId="0" xfId="0" applyNumberFormat="1" applyFont="1" applyFill="1" applyBorder="1" applyAlignment="1">
      <alignment horizontal="center"/>
    </xf>
    <xf numFmtId="188" fontId="3" fillId="2" borderId="0" xfId="0" applyNumberFormat="1" applyFont="1" applyFill="1" applyBorder="1" applyAlignment="1">
      <alignment horizontal="left"/>
    </xf>
    <xf numFmtId="168" fontId="6" fillId="0" borderId="4" xfId="0" applyNumberFormat="1" applyFont="1" applyFill="1" applyBorder="1" applyAlignment="1">
      <alignment horizontal="right"/>
    </xf>
    <xf numFmtId="178" fontId="17" fillId="7" borderId="2" xfId="3" applyNumberFormat="1" applyFont="1" applyFill="1" applyBorder="1" applyAlignment="1" applyProtection="1">
      <alignment horizontal="left"/>
      <protection locked="0"/>
    </xf>
    <xf numFmtId="0" fontId="17" fillId="7" borderId="2" xfId="3" applyFont="1" applyFill="1" applyBorder="1" applyAlignment="1" applyProtection="1">
      <alignment horizontal="left"/>
      <protection locked="0"/>
    </xf>
    <xf numFmtId="167" fontId="17" fillId="7" borderId="2" xfId="3" applyNumberFormat="1" applyFont="1" applyFill="1" applyBorder="1" applyAlignment="1" applyProtection="1">
      <alignment horizontal="left"/>
      <protection locked="0"/>
    </xf>
    <xf numFmtId="0" fontId="10" fillId="7" borderId="2" xfId="3" applyFill="1" applyBorder="1" applyAlignment="1" applyProtection="1">
      <alignment horizontal="left"/>
      <protection locked="0"/>
    </xf>
    <xf numFmtId="167" fontId="10" fillId="7" borderId="2" xfId="3" applyNumberFormat="1" applyFill="1" applyBorder="1" applyAlignment="1" applyProtection="1">
      <alignment horizontal="left"/>
      <protection locked="0"/>
    </xf>
    <xf numFmtId="167" fontId="10" fillId="7" borderId="2" xfId="3" applyNumberFormat="1" applyFill="1" applyBorder="1" applyAlignment="1">
      <alignment horizontal="left"/>
    </xf>
    <xf numFmtId="178" fontId="10" fillId="7" borderId="2" xfId="3" applyNumberFormat="1" applyFill="1" applyBorder="1" applyAlignment="1" applyProtection="1">
      <alignment horizontal="left"/>
      <protection locked="0"/>
    </xf>
    <xf numFmtId="180" fontId="9" fillId="10" borderId="2" xfId="0" applyNumberFormat="1" applyFont="1" applyFill="1" applyBorder="1" applyAlignment="1">
      <alignment horizontal="center"/>
    </xf>
    <xf numFmtId="180" fontId="9" fillId="4" borderId="2" xfId="0" applyNumberFormat="1" applyFont="1" applyFill="1" applyBorder="1" applyAlignment="1">
      <alignment horizontal="center"/>
    </xf>
    <xf numFmtId="167" fontId="11" fillId="0" borderId="2" xfId="0" applyFont="1" applyBorder="1"/>
    <xf numFmtId="167" fontId="0" fillId="0" borderId="0" xfId="0" applyAlignment="1"/>
    <xf numFmtId="167" fontId="49" fillId="17" borderId="50" xfId="0" applyFont="1" applyFill="1" applyBorder="1" applyAlignment="1">
      <alignment vertical="center"/>
    </xf>
    <xf numFmtId="167" fontId="48" fillId="0" borderId="6" xfId="0" applyFont="1" applyBorder="1" applyAlignment="1">
      <alignment vertical="center"/>
    </xf>
    <xf numFmtId="167" fontId="48" fillId="0" borderId="52" xfId="0" applyFont="1" applyBorder="1" applyAlignment="1">
      <alignment vertical="center"/>
    </xf>
    <xf numFmtId="167" fontId="48" fillId="0" borderId="55" xfId="0" applyFont="1" applyBorder="1" applyAlignment="1">
      <alignment vertical="center"/>
    </xf>
    <xf numFmtId="167" fontId="48" fillId="0" borderId="56" xfId="0" applyFont="1" applyBorder="1" applyAlignment="1">
      <alignment vertical="center"/>
    </xf>
    <xf numFmtId="167" fontId="32" fillId="12" borderId="0" xfId="0" applyFont="1" applyFill="1" applyAlignment="1"/>
    <xf numFmtId="167" fontId="0" fillId="9" borderId="0" xfId="0" applyFill="1" applyAlignment="1"/>
    <xf numFmtId="167" fontId="0" fillId="0" borderId="0" xfId="0" applyBorder="1" applyAlignment="1">
      <alignment horizontal="left" indent="2"/>
    </xf>
    <xf numFmtId="167" fontId="0" fillId="0" borderId="0" xfId="0" applyBorder="1" applyAlignment="1"/>
    <xf numFmtId="167" fontId="0" fillId="0" borderId="2" xfId="0" applyBorder="1" applyAlignment="1"/>
    <xf numFmtId="167" fontId="0" fillId="0" borderId="2" xfId="0" applyBorder="1" applyAlignment="1">
      <alignment horizontal="left" indent="2"/>
    </xf>
    <xf numFmtId="172" fontId="0" fillId="0" borderId="2" xfId="2" applyNumberFormat="1" applyFont="1" applyBorder="1" applyAlignment="1">
      <alignment horizontal="left" indent="2"/>
    </xf>
    <xf numFmtId="167" fontId="0" fillId="10" borderId="10" xfId="0" applyFill="1" applyBorder="1" applyAlignment="1"/>
    <xf numFmtId="167" fontId="0" fillId="10" borderId="2" xfId="0" applyFill="1" applyBorder="1" applyAlignment="1"/>
    <xf numFmtId="174" fontId="3" fillId="2" borderId="35" xfId="0" applyNumberFormat="1" applyFont="1" applyFill="1" applyBorder="1" applyAlignment="1">
      <alignment horizontal="center"/>
    </xf>
    <xf numFmtId="174" fontId="3" fillId="2" borderId="2" xfId="0" applyNumberFormat="1" applyFont="1" applyFill="1" applyBorder="1" applyAlignment="1">
      <alignment horizontal="center"/>
    </xf>
    <xf numFmtId="167" fontId="4" fillId="5" borderId="59" xfId="0" applyFont="1" applyFill="1" applyBorder="1"/>
    <xf numFmtId="167" fontId="3" fillId="5" borderId="60" xfId="0" applyFont="1" applyFill="1" applyBorder="1"/>
    <xf numFmtId="2" fontId="4" fillId="5" borderId="60" xfId="0" applyNumberFormat="1" applyFont="1" applyFill="1" applyBorder="1"/>
    <xf numFmtId="167" fontId="3" fillId="2" borderId="29" xfId="0" applyFont="1" applyFill="1" applyBorder="1"/>
    <xf numFmtId="2" fontId="3" fillId="2" borderId="61" xfId="0" applyNumberFormat="1" applyFont="1" applyFill="1" applyBorder="1"/>
    <xf numFmtId="167" fontId="3" fillId="2" borderId="61" xfId="0" applyFont="1" applyFill="1" applyBorder="1"/>
    <xf numFmtId="167" fontId="53" fillId="2" borderId="0" xfId="0" applyFont="1" applyFill="1"/>
    <xf numFmtId="2" fontId="3" fillId="2" borderId="61" xfId="0" applyNumberFormat="1" applyFont="1" applyFill="1" applyBorder="1" applyAlignment="1">
      <alignment horizontal="right"/>
    </xf>
    <xf numFmtId="167" fontId="3" fillId="2" borderId="61" xfId="0" applyFont="1" applyFill="1" applyBorder="1" applyAlignment="1">
      <alignment horizontal="right"/>
    </xf>
    <xf numFmtId="2" fontId="4" fillId="5" borderId="60" xfId="0" applyNumberFormat="1" applyFont="1" applyFill="1" applyBorder="1" applyAlignment="1">
      <alignment horizontal="right"/>
    </xf>
    <xf numFmtId="167" fontId="3" fillId="19" borderId="7" xfId="0" applyFont="1" applyFill="1" applyBorder="1" applyAlignment="1">
      <alignment horizontal="left"/>
    </xf>
    <xf numFmtId="167" fontId="3" fillId="2" borderId="16" xfId="0" applyFont="1" applyFill="1" applyBorder="1" applyProtection="1">
      <protection locked="0"/>
    </xf>
    <xf numFmtId="167" fontId="3" fillId="19" borderId="8" xfId="0" applyFont="1" applyFill="1" applyBorder="1" applyAlignment="1" applyProtection="1">
      <protection locked="0"/>
    </xf>
    <xf numFmtId="167" fontId="3" fillId="2" borderId="2" xfId="0" applyFont="1" applyFill="1" applyBorder="1" applyAlignment="1" applyProtection="1">
      <protection locked="0"/>
    </xf>
    <xf numFmtId="10" fontId="4" fillId="6" borderId="6" xfId="0" applyNumberFormat="1" applyFont="1" applyFill="1" applyBorder="1" applyAlignment="1" applyProtection="1">
      <alignment horizontal="right"/>
      <protection locked="0"/>
    </xf>
    <xf numFmtId="167" fontId="3" fillId="7" borderId="0" xfId="0" applyFont="1" applyFill="1" applyBorder="1" applyAlignment="1">
      <alignment horizontal="right"/>
    </xf>
    <xf numFmtId="167" fontId="29" fillId="7" borderId="0" xfId="0" applyFont="1" applyFill="1" applyBorder="1" applyAlignment="1">
      <alignment horizontal="left"/>
    </xf>
    <xf numFmtId="2" fontId="29" fillId="7" borderId="0" xfId="0" applyNumberFormat="1" applyFont="1" applyFill="1" applyBorder="1" applyAlignment="1">
      <alignment horizontal="right"/>
    </xf>
    <xf numFmtId="195" fontId="3" fillId="2" borderId="0" xfId="4" applyNumberFormat="1" applyFont="1" applyFill="1" applyBorder="1"/>
    <xf numFmtId="194" fontId="3" fillId="2" borderId="0" xfId="4" applyNumberFormat="1" applyFont="1" applyFill="1" applyBorder="1"/>
    <xf numFmtId="167" fontId="3" fillId="2" borderId="2" xfId="0" applyFont="1" applyFill="1" applyBorder="1" applyAlignment="1">
      <alignment horizontal="left"/>
    </xf>
    <xf numFmtId="180" fontId="3" fillId="7" borderId="2" xfId="0" applyNumberFormat="1" applyFont="1" applyFill="1" applyBorder="1" applyAlignment="1">
      <alignment horizontal="right"/>
    </xf>
    <xf numFmtId="167" fontId="3" fillId="7" borderId="2" xfId="0" applyFont="1" applyFill="1" applyBorder="1" applyAlignment="1">
      <alignment vertical="center"/>
    </xf>
    <xf numFmtId="167" fontId="4" fillId="2" borderId="2" xfId="0" applyFont="1" applyFill="1" applyBorder="1" applyAlignment="1">
      <alignment horizontal="left"/>
    </xf>
    <xf numFmtId="167" fontId="3" fillId="7" borderId="2" xfId="0" applyFont="1" applyFill="1" applyBorder="1" applyAlignment="1">
      <alignment horizontal="left"/>
    </xf>
    <xf numFmtId="2" fontId="3" fillId="7" borderId="2" xfId="0" applyNumberFormat="1" applyFont="1" applyFill="1" applyBorder="1" applyAlignment="1">
      <alignment horizontal="right"/>
    </xf>
    <xf numFmtId="2" fontId="6" fillId="7" borderId="2" xfId="0" applyNumberFormat="1" applyFont="1" applyFill="1" applyBorder="1" applyAlignment="1">
      <alignment horizontal="right"/>
    </xf>
    <xf numFmtId="2" fontId="4" fillId="7" borderId="2" xfId="0" applyNumberFormat="1" applyFont="1" applyFill="1" applyBorder="1" applyAlignment="1">
      <alignment horizontal="right"/>
    </xf>
    <xf numFmtId="167" fontId="4" fillId="20" borderId="2" xfId="0" applyFont="1" applyFill="1" applyBorder="1" applyAlignment="1">
      <alignment horizontal="left"/>
    </xf>
    <xf numFmtId="180" fontId="4" fillId="20" borderId="2" xfId="0" applyNumberFormat="1" applyFont="1" applyFill="1" applyBorder="1" applyAlignment="1">
      <alignment horizontal="right"/>
    </xf>
    <xf numFmtId="167" fontId="4" fillId="20" borderId="2" xfId="0" applyFont="1" applyFill="1" applyBorder="1" applyAlignment="1" applyProtection="1">
      <protection locked="0"/>
    </xf>
    <xf numFmtId="167" fontId="4" fillId="2" borderId="16" xfId="0" applyFont="1" applyFill="1" applyBorder="1" applyProtection="1">
      <protection locked="0"/>
    </xf>
    <xf numFmtId="167" fontId="3" fillId="20" borderId="16" xfId="0" applyFont="1" applyFill="1" applyBorder="1" applyProtection="1">
      <protection locked="0"/>
    </xf>
    <xf numFmtId="167" fontId="29" fillId="20" borderId="16" xfId="0" applyFont="1" applyFill="1" applyBorder="1" applyProtection="1">
      <protection locked="0"/>
    </xf>
    <xf numFmtId="167" fontId="29" fillId="2" borderId="10" xfId="0" applyFont="1" applyFill="1" applyBorder="1" applyProtection="1">
      <protection locked="0"/>
    </xf>
    <xf numFmtId="167" fontId="29" fillId="20" borderId="2" xfId="0" applyFont="1" applyFill="1" applyBorder="1" applyAlignment="1">
      <alignment horizontal="left"/>
    </xf>
    <xf numFmtId="2" fontId="29" fillId="20" borderId="2" xfId="0" applyNumberFormat="1" applyFont="1" applyFill="1" applyBorder="1" applyAlignment="1">
      <alignment horizontal="right"/>
    </xf>
    <xf numFmtId="167" fontId="23" fillId="18" borderId="0" xfId="0" applyFont="1" applyFill="1" applyAlignment="1">
      <alignment horizontal="center"/>
    </xf>
    <xf numFmtId="167" fontId="23" fillId="18" borderId="58" xfId="0" applyFont="1" applyFill="1" applyBorder="1" applyAlignment="1">
      <alignment horizontal="center"/>
    </xf>
    <xf numFmtId="167" fontId="32" fillId="5" borderId="3" xfId="0" applyFont="1" applyFill="1" applyBorder="1" applyAlignment="1">
      <alignment horizontal="center"/>
    </xf>
    <xf numFmtId="167" fontId="32" fillId="5" borderId="4" xfId="0" applyFont="1" applyFill="1" applyBorder="1" applyAlignment="1">
      <alignment horizontal="center"/>
    </xf>
    <xf numFmtId="167" fontId="49" fillId="17" borderId="48" xfId="0" applyFont="1" applyFill="1" applyBorder="1" applyAlignment="1">
      <alignment vertical="center"/>
    </xf>
    <xf numFmtId="167" fontId="49" fillId="17" borderId="49" xfId="0" applyFont="1" applyFill="1" applyBorder="1" applyAlignment="1">
      <alignment vertical="center"/>
    </xf>
    <xf numFmtId="167" fontId="48" fillId="0" borderId="57" xfId="0" applyFont="1" applyBorder="1" applyAlignment="1">
      <alignment vertical="center"/>
    </xf>
    <xf numFmtId="167" fontId="48" fillId="0" borderId="51" xfId="0" applyFont="1" applyBorder="1" applyAlignment="1">
      <alignment vertical="center"/>
    </xf>
    <xf numFmtId="167" fontId="48" fillId="0" borderId="53" xfId="0" applyFont="1" applyBorder="1" applyAlignment="1">
      <alignment vertical="center"/>
    </xf>
    <xf numFmtId="167" fontId="48" fillId="0" borderId="54" xfId="0" applyFont="1" applyBorder="1" applyAlignment="1">
      <alignment vertical="center"/>
    </xf>
    <xf numFmtId="174" fontId="3" fillId="2" borderId="35" xfId="0" applyNumberFormat="1" applyFont="1" applyFill="1" applyBorder="1" applyAlignment="1">
      <alignment horizontal="center"/>
    </xf>
    <xf numFmtId="174" fontId="3" fillId="2" borderId="2" xfId="0" applyNumberFormat="1" applyFont="1" applyFill="1" applyBorder="1" applyAlignment="1">
      <alignment horizontal="center"/>
    </xf>
    <xf numFmtId="168" fontId="3" fillId="7" borderId="7" xfId="0" applyNumberFormat="1" applyFont="1" applyFill="1" applyBorder="1" applyAlignment="1">
      <alignment horizontal="left" vertical="top" wrapText="1"/>
    </xf>
    <xf numFmtId="168" fontId="3" fillId="7" borderId="9" xfId="0" applyNumberFormat="1" applyFont="1" applyFill="1" applyBorder="1" applyAlignment="1">
      <alignment horizontal="left" vertical="top" wrapText="1"/>
    </xf>
    <xf numFmtId="168" fontId="3" fillId="7" borderId="10" xfId="0" applyNumberFormat="1" applyFont="1" applyFill="1" applyBorder="1" applyAlignment="1">
      <alignment horizontal="left" vertical="top" wrapText="1"/>
    </xf>
    <xf numFmtId="168" fontId="3" fillId="7" borderId="11" xfId="0" applyNumberFormat="1" applyFont="1" applyFill="1" applyBorder="1" applyAlignment="1">
      <alignment horizontal="left" vertical="top" wrapText="1"/>
    </xf>
    <xf numFmtId="168" fontId="3" fillId="7" borderId="12" xfId="0" applyNumberFormat="1" applyFont="1" applyFill="1" applyBorder="1" applyAlignment="1">
      <alignment horizontal="left" vertical="top" wrapText="1"/>
    </xf>
    <xf numFmtId="168" fontId="3" fillId="7" borderId="6" xfId="0" applyNumberFormat="1" applyFont="1" applyFill="1" applyBorder="1" applyAlignment="1">
      <alignment horizontal="left" vertical="top" wrapText="1"/>
    </xf>
    <xf numFmtId="167" fontId="26" fillId="2" borderId="0" xfId="0" applyFont="1" applyFill="1" applyAlignment="1">
      <alignment horizontal="center" wrapText="1"/>
    </xf>
    <xf numFmtId="167" fontId="26" fillId="2" borderId="0" xfId="0" applyFont="1" applyFill="1" applyAlignment="1">
      <alignment horizontal="left" wrapText="1"/>
    </xf>
  </cellXfs>
  <cellStyles count="13">
    <cellStyle name="Comma" xfId="4" builtinId="3"/>
    <cellStyle name="Comma 2" xfId="6" xr:uid="{17E3D3FB-0FAB-4EE6-8EB7-4BB35C0AE6C3}"/>
    <cellStyle name="Comma 3" xfId="8" xr:uid="{5A099227-6579-40F2-B621-9052D0BD181D}"/>
    <cellStyle name="Currency" xfId="1" builtinId="4"/>
    <cellStyle name="Currency 2" xfId="11" xr:uid="{1F020FD4-A6F8-4C39-874F-469A0C7B3E74}"/>
    <cellStyle name="Hyperlink" xfId="3" builtinId="8"/>
    <cellStyle name="Hyperlink 2" xfId="9" xr:uid="{11ADD955-F22A-4057-BE2B-DFA52C83627E}"/>
    <cellStyle name="Normal" xfId="0" builtinId="0"/>
    <cellStyle name="Normal 2" xfId="5" xr:uid="{C85BBF17-0FD7-427F-965F-14C78E77390E}"/>
    <cellStyle name="Normal 3" xfId="7" xr:uid="{D2854929-B9BA-47D4-8CB4-24B7BDFDEFF2}"/>
    <cellStyle name="Percent" xfId="2" builtinId="5"/>
    <cellStyle name="Percent 2" xfId="12" xr:uid="{18B26D7E-D178-4A35-A3D0-8FC227A14511}"/>
    <cellStyle name="Percent 3" xfId="10" xr:uid="{9B69444C-8090-4BD8-9CC8-18379EA92BF2}"/>
  </cellStyles>
  <dxfs count="6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cid:a8a821e0-af5e-4af3-a6b3-c6f910a279db@namprd03.prod.outlook.com" TargetMode="External"/><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158740</xdr:colOff>
      <xdr:row>26</xdr:row>
      <xdr:rowOff>19050</xdr:rowOff>
    </xdr:from>
    <xdr:to>
      <xdr:col>1</xdr:col>
      <xdr:colOff>1849071</xdr:colOff>
      <xdr:row>55</xdr:row>
      <xdr:rowOff>86000</xdr:rowOff>
    </xdr:to>
    <xdr:pic>
      <xdr:nvPicPr>
        <xdr:cNvPr id="2" name="Picture 1">
          <a:extLst>
            <a:ext uri="{FF2B5EF4-FFF2-40B4-BE49-F238E27FC236}">
              <a16:creationId xmlns:a16="http://schemas.microsoft.com/office/drawing/2014/main" id="{D5B61DE9-53CC-4281-80B9-D659C110152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8740" y="5099050"/>
          <a:ext cx="1918931" cy="28800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141941</xdr:colOff>
      <xdr:row>1</xdr:row>
      <xdr:rowOff>59765</xdr:rowOff>
    </xdr:from>
    <xdr:to>
      <xdr:col>4</xdr:col>
      <xdr:colOff>873481</xdr:colOff>
      <xdr:row>12</xdr:row>
      <xdr:rowOff>92702</xdr:rowOff>
    </xdr:to>
    <xdr:pic>
      <xdr:nvPicPr>
        <xdr:cNvPr id="2" name="Picture 1">
          <a:extLst>
            <a:ext uri="{FF2B5EF4-FFF2-40B4-BE49-F238E27FC236}">
              <a16:creationId xmlns:a16="http://schemas.microsoft.com/office/drawing/2014/main" id="{02795D1E-D2D7-478D-B0EC-7524679886B8}"/>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89294" y="291353"/>
          <a:ext cx="1439191" cy="21600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127000</xdr:colOff>
      <xdr:row>1</xdr:row>
      <xdr:rowOff>50800</xdr:rowOff>
    </xdr:from>
    <xdr:to>
      <xdr:col>4</xdr:col>
      <xdr:colOff>753391</xdr:colOff>
      <xdr:row>12</xdr:row>
      <xdr:rowOff>58150</xdr:rowOff>
    </xdr:to>
    <xdr:pic>
      <xdr:nvPicPr>
        <xdr:cNvPr id="2" name="Picture 1">
          <a:extLst>
            <a:ext uri="{FF2B5EF4-FFF2-40B4-BE49-F238E27FC236}">
              <a16:creationId xmlns:a16="http://schemas.microsoft.com/office/drawing/2014/main" id="{222FC2B7-8F88-4974-954C-511BCAE06D4F}"/>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57650" y="285750"/>
          <a:ext cx="1439191" cy="216000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177800</xdr:colOff>
      <xdr:row>0</xdr:row>
      <xdr:rowOff>139700</xdr:rowOff>
    </xdr:from>
    <xdr:to>
      <xdr:col>4</xdr:col>
      <xdr:colOff>804191</xdr:colOff>
      <xdr:row>11</xdr:row>
      <xdr:rowOff>102600</xdr:rowOff>
    </xdr:to>
    <xdr:pic>
      <xdr:nvPicPr>
        <xdr:cNvPr id="2" name="Picture 1">
          <a:extLst>
            <a:ext uri="{FF2B5EF4-FFF2-40B4-BE49-F238E27FC236}">
              <a16:creationId xmlns:a16="http://schemas.microsoft.com/office/drawing/2014/main" id="{99307015-2BD4-4E00-907A-B53470A6584B}"/>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108450" y="139700"/>
          <a:ext cx="1439191" cy="21600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xdr:col>
      <xdr:colOff>69850</xdr:colOff>
      <xdr:row>0</xdr:row>
      <xdr:rowOff>146050</xdr:rowOff>
    </xdr:from>
    <xdr:to>
      <xdr:col>5</xdr:col>
      <xdr:colOff>112041</xdr:colOff>
      <xdr:row>11</xdr:row>
      <xdr:rowOff>159750</xdr:rowOff>
    </xdr:to>
    <xdr:pic>
      <xdr:nvPicPr>
        <xdr:cNvPr id="2" name="Picture 1">
          <a:extLst>
            <a:ext uri="{FF2B5EF4-FFF2-40B4-BE49-F238E27FC236}">
              <a16:creationId xmlns:a16="http://schemas.microsoft.com/office/drawing/2014/main" id="{A72BAAAE-7BDA-480A-9A5C-6632F32C8B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30650" y="146050"/>
          <a:ext cx="1439191" cy="216000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16</xdr:row>
      <xdr:rowOff>0</xdr:rowOff>
    </xdr:from>
    <xdr:to>
      <xdr:col>0</xdr:col>
      <xdr:colOff>2398672</xdr:colOff>
      <xdr:row>34</xdr:row>
      <xdr:rowOff>56700</xdr:rowOff>
    </xdr:to>
    <xdr:pic>
      <xdr:nvPicPr>
        <xdr:cNvPr id="2" name="Picture 1">
          <a:extLst>
            <a:ext uri="{FF2B5EF4-FFF2-40B4-BE49-F238E27FC236}">
              <a16:creationId xmlns:a16="http://schemas.microsoft.com/office/drawing/2014/main" id="{A95FF00F-8D3D-4002-9138-9033802F6D57}"/>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3543300"/>
          <a:ext cx="2398671" cy="36000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23</xdr:row>
      <xdr:rowOff>158750</xdr:rowOff>
    </xdr:from>
    <xdr:to>
      <xdr:col>1</xdr:col>
      <xdr:colOff>1903046</xdr:colOff>
      <xdr:row>48</xdr:row>
      <xdr:rowOff>22500</xdr:rowOff>
    </xdr:to>
    <xdr:pic>
      <xdr:nvPicPr>
        <xdr:cNvPr id="2" name="Picture 1">
          <a:extLst>
            <a:ext uri="{FF2B5EF4-FFF2-40B4-BE49-F238E27FC236}">
              <a16:creationId xmlns:a16="http://schemas.microsoft.com/office/drawing/2014/main" id="{6E262CAE-390D-4EB9-8C16-96360BF3AC4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09550" y="4565650"/>
          <a:ext cx="1918921" cy="28800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211658</xdr:colOff>
      <xdr:row>25</xdr:row>
      <xdr:rowOff>68280</xdr:rowOff>
    </xdr:from>
    <xdr:to>
      <xdr:col>1</xdr:col>
      <xdr:colOff>1905266</xdr:colOff>
      <xdr:row>49</xdr:row>
      <xdr:rowOff>135162</xdr:rowOff>
    </xdr:to>
    <xdr:pic>
      <xdr:nvPicPr>
        <xdr:cNvPr id="2" name="Picture 1">
          <a:extLst>
            <a:ext uri="{FF2B5EF4-FFF2-40B4-BE49-F238E27FC236}">
              <a16:creationId xmlns:a16="http://schemas.microsoft.com/office/drawing/2014/main" id="{EBC74ABD-87C7-41F3-85CE-96242373B20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1658" y="4875162"/>
          <a:ext cx="1918931" cy="28800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215338</xdr:colOff>
      <xdr:row>23</xdr:row>
      <xdr:rowOff>160131</xdr:rowOff>
    </xdr:from>
    <xdr:to>
      <xdr:col>1</xdr:col>
      <xdr:colOff>1907878</xdr:colOff>
      <xdr:row>39</xdr:row>
      <xdr:rowOff>33958</xdr:rowOff>
    </xdr:to>
    <xdr:pic>
      <xdr:nvPicPr>
        <xdr:cNvPr id="2" name="Picture 1">
          <a:extLst>
            <a:ext uri="{FF2B5EF4-FFF2-40B4-BE49-F238E27FC236}">
              <a16:creationId xmlns:a16="http://schemas.microsoft.com/office/drawing/2014/main" id="{6299C562-C27A-4BF4-B8C3-AF0DC4745BB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215338" y="4627218"/>
          <a:ext cx="1918931" cy="28800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1644185</xdr:colOff>
      <xdr:row>13</xdr:row>
      <xdr:rowOff>134125</xdr:rowOff>
    </xdr:from>
    <xdr:to>
      <xdr:col>12</xdr:col>
      <xdr:colOff>125684</xdr:colOff>
      <xdr:row>13</xdr:row>
      <xdr:rowOff>134125</xdr:rowOff>
    </xdr:to>
    <xdr:cxnSp macro="">
      <xdr:nvCxnSpPr>
        <xdr:cNvPr id="3" name="Straight Arrow Connector 2">
          <a:extLst>
            <a:ext uri="{FF2B5EF4-FFF2-40B4-BE49-F238E27FC236}">
              <a16:creationId xmlns:a16="http://schemas.microsoft.com/office/drawing/2014/main" id="{2CB0A7E5-0A33-92E2-97AE-3023C7FA334B}"/>
            </a:ext>
          </a:extLst>
        </xdr:cNvPr>
        <xdr:cNvCxnSpPr/>
      </xdr:nvCxnSpPr>
      <xdr:spPr>
        <a:xfrm flipH="1">
          <a:off x="14282234" y="2701229"/>
          <a:ext cx="990523" cy="0"/>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16881</xdr:colOff>
      <xdr:row>3</xdr:row>
      <xdr:rowOff>112984</xdr:rowOff>
    </xdr:from>
    <xdr:to>
      <xdr:col>9</xdr:col>
      <xdr:colOff>1286185</xdr:colOff>
      <xdr:row>3</xdr:row>
      <xdr:rowOff>124600</xdr:rowOff>
    </xdr:to>
    <xdr:cxnSp macro="">
      <xdr:nvCxnSpPr>
        <xdr:cNvPr id="4" name="Straight Arrow Connector 3">
          <a:extLst>
            <a:ext uri="{FF2B5EF4-FFF2-40B4-BE49-F238E27FC236}">
              <a16:creationId xmlns:a16="http://schemas.microsoft.com/office/drawing/2014/main" id="{7D96FE9C-F3FD-405E-B72E-B9CCE3FCB7A6}"/>
            </a:ext>
          </a:extLst>
        </xdr:cNvPr>
        <xdr:cNvCxnSpPr/>
      </xdr:nvCxnSpPr>
      <xdr:spPr>
        <a:xfrm flipH="1">
          <a:off x="10378222" y="728624"/>
          <a:ext cx="1664243" cy="11616"/>
        </a:xfrm>
        <a:prstGeom prst="straightConnector1">
          <a:avLst/>
        </a:prstGeom>
        <a:ln w="3810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1306243</xdr:colOff>
      <xdr:row>2</xdr:row>
      <xdr:rowOff>144656</xdr:rowOff>
    </xdr:from>
    <xdr:ext cx="3203056" cy="311496"/>
    <xdr:sp macro="" textlink="">
      <xdr:nvSpPr>
        <xdr:cNvPr id="8" name="TextBox 7">
          <a:extLst>
            <a:ext uri="{FF2B5EF4-FFF2-40B4-BE49-F238E27FC236}">
              <a16:creationId xmlns:a16="http://schemas.microsoft.com/office/drawing/2014/main" id="{2012F4AA-265A-8264-ED1A-57492DAE74B1}"/>
            </a:ext>
          </a:extLst>
        </xdr:cNvPr>
        <xdr:cNvSpPr txBox="1"/>
      </xdr:nvSpPr>
      <xdr:spPr>
        <a:xfrm>
          <a:off x="12062523" y="574443"/>
          <a:ext cx="3203056"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CA" sz="1400" b="1" kern="1200">
              <a:solidFill>
                <a:srgbClr val="00B050"/>
              </a:solidFill>
            </a:rPr>
            <a:t>This is the amount</a:t>
          </a:r>
          <a:r>
            <a:rPr lang="en-CA" sz="1400" b="1" kern="1200" baseline="0">
              <a:solidFill>
                <a:srgbClr val="00B050"/>
              </a:solidFill>
            </a:rPr>
            <a:t> the supplier gets paid</a:t>
          </a:r>
          <a:endParaRPr lang="en-CA" sz="1400" b="1" kern="1200">
            <a:solidFill>
              <a:srgbClr val="00B050"/>
            </a:solidFill>
          </a:endParaRPr>
        </a:p>
      </xdr:txBody>
    </xdr:sp>
    <xdr:clientData/>
  </xdr:oneCellAnchor>
  <xdr:oneCellAnchor>
    <xdr:from>
      <xdr:col>12</xdr:col>
      <xdr:colOff>147831</xdr:colOff>
      <xdr:row>12</xdr:row>
      <xdr:rowOff>49639</xdr:rowOff>
    </xdr:from>
    <xdr:ext cx="2117261" cy="530658"/>
    <xdr:sp macro="" textlink="">
      <xdr:nvSpPr>
        <xdr:cNvPr id="9" name="TextBox 8">
          <a:extLst>
            <a:ext uri="{FF2B5EF4-FFF2-40B4-BE49-F238E27FC236}">
              <a16:creationId xmlns:a16="http://schemas.microsoft.com/office/drawing/2014/main" id="{AE36F351-54C0-4639-8D53-CB58AB55305C}"/>
            </a:ext>
          </a:extLst>
        </xdr:cNvPr>
        <xdr:cNvSpPr txBox="1"/>
      </xdr:nvSpPr>
      <xdr:spPr>
        <a:xfrm>
          <a:off x="15294904" y="2430889"/>
          <a:ext cx="2117261" cy="530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CA" sz="1400" b="1" kern="1200">
              <a:solidFill>
                <a:srgbClr val="00B050"/>
              </a:solidFill>
            </a:rPr>
            <a:t>This is what</a:t>
          </a:r>
          <a:r>
            <a:rPr lang="en-CA" sz="1400" b="1" kern="1200" baseline="0">
              <a:solidFill>
                <a:srgbClr val="00B050"/>
              </a:solidFill>
            </a:rPr>
            <a:t> the wholesale customer pays</a:t>
          </a:r>
          <a:endParaRPr lang="en-CA" sz="1400" b="1" kern="1200">
            <a:solidFill>
              <a:srgbClr val="00B050"/>
            </a:solidFill>
          </a:endParaRP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49695</xdr:colOff>
      <xdr:row>26</xdr:row>
      <xdr:rowOff>16564</xdr:rowOff>
    </xdr:from>
    <xdr:to>
      <xdr:col>2</xdr:col>
      <xdr:colOff>34489</xdr:colOff>
      <xdr:row>41</xdr:row>
      <xdr:rowOff>128654</xdr:rowOff>
    </xdr:to>
    <xdr:pic>
      <xdr:nvPicPr>
        <xdr:cNvPr id="2" name="Picture 1">
          <a:extLst>
            <a:ext uri="{FF2B5EF4-FFF2-40B4-BE49-F238E27FC236}">
              <a16:creationId xmlns:a16="http://schemas.microsoft.com/office/drawing/2014/main" id="{E9AFD5B7-90A7-4DDC-9AB2-32D12804927A}"/>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93260" y="5030303"/>
          <a:ext cx="1918921" cy="288000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149412</xdr:colOff>
      <xdr:row>1</xdr:row>
      <xdr:rowOff>119530</xdr:rowOff>
    </xdr:from>
    <xdr:to>
      <xdr:col>4</xdr:col>
      <xdr:colOff>873481</xdr:colOff>
      <xdr:row>12</xdr:row>
      <xdr:rowOff>135471</xdr:rowOff>
    </xdr:to>
    <xdr:pic>
      <xdr:nvPicPr>
        <xdr:cNvPr id="2" name="Picture 1">
          <a:extLst>
            <a:ext uri="{FF2B5EF4-FFF2-40B4-BE49-F238E27FC236}">
              <a16:creationId xmlns:a16="http://schemas.microsoft.com/office/drawing/2014/main" id="{10C2E221-EABF-4023-97A8-F290227C9503}"/>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29530" y="351118"/>
          <a:ext cx="1439191" cy="216000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179294</xdr:colOff>
      <xdr:row>1</xdr:row>
      <xdr:rowOff>67235</xdr:rowOff>
    </xdr:from>
    <xdr:to>
      <xdr:col>4</xdr:col>
      <xdr:colOff>874601</xdr:colOff>
      <xdr:row>12</xdr:row>
      <xdr:rowOff>90647</xdr:rowOff>
    </xdr:to>
    <xdr:pic>
      <xdr:nvPicPr>
        <xdr:cNvPr id="2" name="Picture 1">
          <a:extLst>
            <a:ext uri="{FF2B5EF4-FFF2-40B4-BE49-F238E27FC236}">
              <a16:creationId xmlns:a16="http://schemas.microsoft.com/office/drawing/2014/main" id="{E01BCC4D-01AC-4DCE-B12D-3EFF4A778A74}"/>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49059" y="298823"/>
          <a:ext cx="1439191" cy="2160000"/>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171823</xdr:colOff>
      <xdr:row>2</xdr:row>
      <xdr:rowOff>112058</xdr:rowOff>
    </xdr:from>
    <xdr:to>
      <xdr:col>4</xdr:col>
      <xdr:colOff>814836</xdr:colOff>
      <xdr:row>13</xdr:row>
      <xdr:rowOff>131174</xdr:rowOff>
    </xdr:to>
    <xdr:pic>
      <xdr:nvPicPr>
        <xdr:cNvPr id="2" name="Picture 1">
          <a:extLst>
            <a:ext uri="{FF2B5EF4-FFF2-40B4-BE49-F238E27FC236}">
              <a16:creationId xmlns:a16="http://schemas.microsoft.com/office/drawing/2014/main" id="{D9F6BC98-9DDD-4FFB-B87C-E2358A5210EE}"/>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3959411" y="530411"/>
          <a:ext cx="1439191" cy="216000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4.xml"/><Relationship Id="rId4" Type="http://schemas.openxmlformats.org/officeDocument/2006/relationships/vmlDrawing" Target="../drawings/vmlDrawing14.v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15.xm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8" Type="http://schemas.openxmlformats.org/officeDocument/2006/relationships/hyperlink" Target="https://www.doingbusinesswithlcbo.com/content/dbwl/en/basepage/home/new-supplier-agent/Pricing/HelpfulToolsandLinks.html" TargetMode="External"/><Relationship Id="rId3" Type="http://schemas.openxmlformats.org/officeDocument/2006/relationships/hyperlink" Target="https://www.doingbusinesswithlcbo.com/content/dbwl/en/basepage/home/new-supplier-agent/Pricing/HelpfulToolsandLinks.html" TargetMode="External"/><Relationship Id="rId7" Type="http://schemas.openxmlformats.org/officeDocument/2006/relationships/hyperlink" Target="https://www.doingbusinesswithlcbo.com/content/dbwl/en/basepage/home/new-supplier-agent/Customs/LCBOFTAProgram.html" TargetMode="External"/><Relationship Id="rId12" Type="http://schemas.openxmlformats.org/officeDocument/2006/relationships/drawing" Target="../drawings/drawing14.xml"/><Relationship Id="rId2" Type="http://schemas.openxmlformats.org/officeDocument/2006/relationships/hyperlink" Target="mailto:origin.certificates@lcbo.com" TargetMode="External"/><Relationship Id="rId1" Type="http://schemas.openxmlformats.org/officeDocument/2006/relationships/hyperlink" Target="mailto:freightrate.inquiry@lcbo.com" TargetMode="External"/><Relationship Id="rId6" Type="http://schemas.openxmlformats.org/officeDocument/2006/relationships/hyperlink" Target="https://www.doingbusinesswithlcbo.com/content/dbwl/en/basepage/home/new-supplier-agent/Pricing/PricingCalculators.html" TargetMode="External"/><Relationship Id="rId1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hyperlink" Target="mailto:pricing@lcbo.com" TargetMode="External"/><Relationship Id="rId10" Type="http://schemas.openxmlformats.org/officeDocument/2006/relationships/hyperlink" Target="https://www.canada.ca/en/revenue-agency/services/forms-publications/publications/edrates/excise-duty-rates.html" TargetMode="External"/><Relationship Id="rId4" Type="http://schemas.openxmlformats.org/officeDocument/2006/relationships/hyperlink" Target="mailto:Customs.Department@lcbo.com" TargetMode="External"/><Relationship Id="rId9" Type="http://schemas.openxmlformats.org/officeDocument/2006/relationships/hyperlink" Target="https://www.doingbusinesswithlcbo.com/content/dbwl/en/basepage/home/updates/ExciseCOSDEffectiveApril12021.html"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canada.ca/en/revenue-agency/services/forms-publications/publications/edrates/excise-duty-rates.h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hyperlink" Target="https://www.doingbusinesswithlcbo.com/content/dbwl/en/basepage/home/new-supplier-agent/Pricing/HelpfulToolsandLinks.html"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doingbusinesswithlcbo.com/content/dbwl/en/basepage/home/new-supplier-agent/Pricing/HelpfulToolsandLinks.html" TargetMode="External"/><Relationship Id="rId5" Type="http://schemas.openxmlformats.org/officeDocument/2006/relationships/comments" Target="../comments7.xm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0ACD8-54F2-4FCE-BD4C-7314A528F9E7}">
  <sheetPr codeName="Sheet2"/>
  <dimension ref="A1"/>
  <sheetViews>
    <sheetView workbookViewId="0">
      <selection activeCell="C27" sqref="C27"/>
    </sheetView>
  </sheetViews>
  <sheetFormatPr defaultRowHeight="15.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E7D2-E199-45A3-A5C0-95D6644ED75B}">
  <sheetPr codeName="Sheet10">
    <tabColor theme="9" tint="0.39997558519241921"/>
  </sheetPr>
  <dimension ref="B1:V51"/>
  <sheetViews>
    <sheetView zoomScale="85" zoomScaleNormal="85" zoomScaleSheetLayoutView="24" workbookViewId="0">
      <selection activeCell="C18" sqref="C18"/>
    </sheetView>
  </sheetViews>
  <sheetFormatPr defaultColWidth="7.4609375" defaultRowHeight="14.5"/>
  <cols>
    <col min="1" max="1" width="2.84375" style="1" customWidth="1"/>
    <col min="2" max="2" width="23.3046875" style="1" customWidth="1"/>
    <col min="3" max="3" width="20.69140625" style="6" customWidth="1"/>
    <col min="4" max="4" width="9.07421875" style="6" customWidth="1"/>
    <col min="5" max="5" width="11.23046875" style="6" customWidth="1"/>
    <col min="6" max="6" width="2.84375" style="6" customWidth="1"/>
    <col min="7" max="7" width="23" style="6" bestFit="1" customWidth="1"/>
    <col min="8" max="8" width="20.765625" style="6" customWidth="1"/>
    <col min="9" max="9" width="1.765625" style="6" customWidth="1"/>
    <col min="10" max="10" width="18.84375" style="1" bestFit="1" customWidth="1"/>
    <col min="11" max="11" width="20.765625" style="1" customWidth="1"/>
    <col min="12" max="12" width="1.765625" style="1" customWidth="1"/>
    <col min="13" max="13" width="18.84375" style="1" bestFit="1" customWidth="1"/>
    <col min="14" max="14" width="20.765625" style="1" customWidth="1"/>
    <col min="15" max="15" width="1.765625" style="1" customWidth="1"/>
    <col min="16" max="16" width="18.53515625" style="1" bestFit="1" customWidth="1"/>
    <col min="17" max="17" width="10.765625" style="1" customWidth="1"/>
    <col min="18" max="18" width="20.69140625" style="1" customWidth="1"/>
    <col min="19" max="19" width="12" style="1" customWidth="1"/>
    <col min="20" max="20" width="12.84375" style="1" bestFit="1" customWidth="1"/>
    <col min="21" max="21" width="16.765625" style="1" customWidth="1"/>
    <col min="22" max="22" width="10.4609375" style="1" customWidth="1"/>
    <col min="23" max="16384" width="7.4609375" style="1"/>
  </cols>
  <sheetData>
    <row r="1" spans="2:22" ht="18.5">
      <c r="B1" s="170" t="s">
        <v>488</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50</v>
      </c>
      <c r="C4" s="393"/>
      <c r="G4" s="65" t="s">
        <v>55</v>
      </c>
      <c r="H4" s="99"/>
      <c r="J4" s="65" t="s">
        <v>91</v>
      </c>
      <c r="K4" s="99"/>
      <c r="M4" s="65" t="s">
        <v>92</v>
      </c>
      <c r="N4" s="99"/>
      <c r="P4" s="285" t="s">
        <v>283</v>
      </c>
      <c r="Q4" s="25"/>
      <c r="R4" s="286"/>
      <c r="S4" s="25"/>
      <c r="T4" s="25"/>
      <c r="U4" s="25"/>
      <c r="V4" s="115"/>
    </row>
    <row r="5" spans="2:22" ht="15" thickBot="1">
      <c r="B5" s="32" t="s">
        <v>5</v>
      </c>
      <c r="C5" s="394"/>
      <c r="G5" s="40" t="s">
        <v>28</v>
      </c>
      <c r="H5" s="41">
        <f t="shared" ref="H5:H11" si="0">K5+N5</f>
        <v>0</v>
      </c>
      <c r="J5" s="40" t="s">
        <v>93</v>
      </c>
      <c r="K5" s="41">
        <f>C9*C10</f>
        <v>0</v>
      </c>
      <c r="L5" s="62"/>
      <c r="M5" s="40" t="s">
        <v>94</v>
      </c>
      <c r="N5" s="101">
        <f>ROUND(C8*C10,4)</f>
        <v>0</v>
      </c>
      <c r="P5" s="293"/>
      <c r="Q5" s="294"/>
      <c r="R5" s="294"/>
      <c r="S5" s="294"/>
      <c r="T5" s="294"/>
      <c r="U5" s="294"/>
      <c r="V5" s="295"/>
    </row>
    <row r="6" spans="2:22" ht="15" thickBot="1">
      <c r="B6" s="215" t="s">
        <v>9</v>
      </c>
      <c r="C6" s="394"/>
      <c r="G6" s="27" t="s">
        <v>29</v>
      </c>
      <c r="H6" s="49" t="e">
        <f t="shared" si="0"/>
        <v>#N/A</v>
      </c>
      <c r="J6" s="27" t="s">
        <v>29</v>
      </c>
      <c r="K6" s="49">
        <v>0</v>
      </c>
      <c r="M6" s="27" t="s">
        <v>29</v>
      </c>
      <c r="N6" s="95" t="e">
        <f>ROUND(C12*C13*C15*C19,4)</f>
        <v>#N/A</v>
      </c>
      <c r="P6" s="287"/>
      <c r="Q6" s="288"/>
      <c r="R6" s="288"/>
      <c r="S6" s="288"/>
      <c r="T6" s="288"/>
      <c r="U6" s="288"/>
      <c r="V6" s="289"/>
    </row>
    <row r="7" spans="2:22" ht="15" thickBot="1">
      <c r="B7" s="32" t="s">
        <v>448</v>
      </c>
      <c r="C7" s="416"/>
      <c r="G7" s="43" t="s">
        <v>281</v>
      </c>
      <c r="H7" s="414">
        <f t="shared" si="0"/>
        <v>0</v>
      </c>
      <c r="J7" s="43" t="s">
        <v>281</v>
      </c>
      <c r="K7" s="49">
        <v>0</v>
      </c>
      <c r="M7" s="43" t="s">
        <v>281</v>
      </c>
      <c r="N7" s="95">
        <f>ROUND(C12*C13*C15*C18,4)</f>
        <v>0</v>
      </c>
      <c r="P7" s="287"/>
      <c r="Q7" s="288"/>
      <c r="R7" s="288"/>
      <c r="S7" s="288"/>
      <c r="T7" s="288"/>
      <c r="U7" s="288"/>
      <c r="V7" s="289"/>
    </row>
    <row r="8" spans="2:22" ht="15" thickBot="1">
      <c r="B8" s="100" t="s">
        <v>89</v>
      </c>
      <c r="C8" s="409"/>
      <c r="G8" s="43" t="s">
        <v>16</v>
      </c>
      <c r="H8" s="49">
        <f t="shared" si="0"/>
        <v>0</v>
      </c>
      <c r="J8" s="43" t="s">
        <v>16</v>
      </c>
      <c r="K8" s="49">
        <v>0</v>
      </c>
      <c r="M8" s="43" t="s">
        <v>16</v>
      </c>
      <c r="N8" s="95">
        <f>C11</f>
        <v>0</v>
      </c>
      <c r="P8" s="287"/>
      <c r="Q8" s="288"/>
      <c r="R8" s="288"/>
      <c r="S8" s="288"/>
      <c r="T8" s="288"/>
      <c r="U8" s="288"/>
      <c r="V8" s="289"/>
    </row>
    <row r="9" spans="2:22" ht="15" thickBot="1">
      <c r="B9" s="100" t="s">
        <v>90</v>
      </c>
      <c r="C9" s="409"/>
      <c r="G9" s="43" t="s">
        <v>31</v>
      </c>
      <c r="H9" s="104" t="e">
        <f t="shared" si="0"/>
        <v>#N/A</v>
      </c>
      <c r="J9" s="43" t="s">
        <v>31</v>
      </c>
      <c r="K9" s="104">
        <f>SUM(K5:K8)</f>
        <v>0</v>
      </c>
      <c r="M9" s="43" t="s">
        <v>31</v>
      </c>
      <c r="N9" s="102" t="e">
        <f>SUM(N5:N8)</f>
        <v>#N/A</v>
      </c>
      <c r="P9" s="287"/>
      <c r="Q9" s="288"/>
      <c r="R9" s="288"/>
      <c r="S9" s="288"/>
      <c r="T9" s="288"/>
      <c r="U9" s="288"/>
      <c r="V9" s="289"/>
    </row>
    <row r="10" spans="2:22" ht="15" thickBot="1">
      <c r="B10" s="215" t="s">
        <v>14</v>
      </c>
      <c r="C10" s="396"/>
      <c r="G10" s="43" t="s">
        <v>57</v>
      </c>
      <c r="H10" s="49" t="e">
        <f t="shared" si="0"/>
        <v>#N/A</v>
      </c>
      <c r="J10" s="43" t="s">
        <v>57</v>
      </c>
      <c r="K10" s="49">
        <f>ROUND(K9*Q18,4)</f>
        <v>0</v>
      </c>
      <c r="M10" s="43" t="s">
        <v>57</v>
      </c>
      <c r="N10" s="95" t="e">
        <f>ROUND(N9*C21,4)</f>
        <v>#N/A</v>
      </c>
      <c r="P10" s="287"/>
      <c r="Q10" s="288"/>
      <c r="R10" s="288"/>
      <c r="S10" s="288"/>
      <c r="T10" s="288"/>
      <c r="U10" s="288"/>
      <c r="V10" s="289"/>
    </row>
    <row r="11" spans="2:22" ht="15" thickBot="1">
      <c r="B11" s="217" t="s">
        <v>16</v>
      </c>
      <c r="C11" s="415"/>
      <c r="G11" s="43" t="s">
        <v>58</v>
      </c>
      <c r="H11" s="49" t="e">
        <f t="shared" si="0"/>
        <v>#N/A</v>
      </c>
      <c r="J11" s="43" t="s">
        <v>58</v>
      </c>
      <c r="K11" s="49">
        <f>SUM(K9:K10)</f>
        <v>0</v>
      </c>
      <c r="M11" s="43" t="s">
        <v>58</v>
      </c>
      <c r="N11" s="95" t="e">
        <f>SUM(N9:N10)</f>
        <v>#N/A</v>
      </c>
      <c r="P11" s="287"/>
      <c r="Q11" s="288"/>
      <c r="R11" s="288"/>
      <c r="S11" s="288"/>
      <c r="T11" s="288"/>
      <c r="U11" s="288"/>
      <c r="V11" s="289"/>
    </row>
    <row r="12" spans="2:22" ht="15" thickBot="1">
      <c r="B12" s="216" t="s">
        <v>18</v>
      </c>
      <c r="C12" s="397"/>
      <c r="G12" s="43"/>
      <c r="H12" s="86"/>
      <c r="J12" s="43"/>
      <c r="K12" s="86"/>
      <c r="M12" s="43"/>
      <c r="N12" s="80"/>
      <c r="P12" s="287"/>
      <c r="Q12" s="288"/>
      <c r="R12" s="288"/>
      <c r="S12" s="288"/>
      <c r="T12" s="288"/>
      <c r="U12" s="288"/>
      <c r="V12" s="289"/>
    </row>
    <row r="13" spans="2:22" ht="15" thickBot="1">
      <c r="B13" s="215" t="s">
        <v>20</v>
      </c>
      <c r="C13" s="398"/>
      <c r="G13" s="43" t="s">
        <v>35</v>
      </c>
      <c r="H13" s="49" t="e">
        <f t="shared" ref="H13:H19" si="1">K13+N13</f>
        <v>#DIV/0!</v>
      </c>
      <c r="J13" s="43" t="s">
        <v>35</v>
      </c>
      <c r="K13" s="49" t="e">
        <f>ROUND(K11/C13,4)</f>
        <v>#DIV/0!</v>
      </c>
      <c r="M13" s="43" t="s">
        <v>35</v>
      </c>
      <c r="N13" s="95" t="e">
        <f>ROUND(N11/C13,4)</f>
        <v>#N/A</v>
      </c>
      <c r="P13" s="287"/>
      <c r="Q13" s="288"/>
      <c r="R13" s="288"/>
      <c r="S13" s="288"/>
      <c r="T13" s="288"/>
      <c r="U13" s="288"/>
      <c r="V13" s="289"/>
    </row>
    <row r="14" spans="2:22" ht="15" thickBot="1">
      <c r="B14" s="215" t="s">
        <v>22</v>
      </c>
      <c r="C14" s="398"/>
      <c r="G14" s="43" t="s">
        <v>36</v>
      </c>
      <c r="H14" s="49">
        <f t="shared" si="1"/>
        <v>0</v>
      </c>
      <c r="J14" s="43" t="s">
        <v>36</v>
      </c>
      <c r="K14" s="49">
        <v>0</v>
      </c>
      <c r="M14" s="43" t="s">
        <v>36</v>
      </c>
      <c r="N14" s="95">
        <f>ROUND(C22*C12,4)</f>
        <v>0</v>
      </c>
      <c r="P14" s="287"/>
      <c r="Q14" s="288"/>
      <c r="R14" s="288"/>
      <c r="S14" s="288"/>
      <c r="T14" s="288"/>
      <c r="U14" s="288"/>
      <c r="V14" s="289"/>
    </row>
    <row r="15" spans="2:22" ht="15.75" customHeight="1" thickBot="1">
      <c r="B15" s="218" t="s">
        <v>24</v>
      </c>
      <c r="C15" s="438"/>
      <c r="D15" s="574" t="s">
        <v>289</v>
      </c>
      <c r="E15" s="575"/>
      <c r="G15" s="43" t="s">
        <v>37</v>
      </c>
      <c r="H15" s="49" t="e">
        <f t="shared" si="1"/>
        <v>#N/A</v>
      </c>
      <c r="J15" s="43" t="s">
        <v>37</v>
      </c>
      <c r="K15" s="49">
        <v>0</v>
      </c>
      <c r="M15" s="43" t="s">
        <v>37</v>
      </c>
      <c r="N15" s="95" t="e">
        <f>ROUND(C12*C20,4)</f>
        <v>#N/A</v>
      </c>
      <c r="P15" s="287"/>
      <c r="Q15" s="288"/>
      <c r="R15" s="288"/>
      <c r="S15" s="288"/>
      <c r="T15" s="288"/>
      <c r="U15" s="288"/>
      <c r="V15" s="289"/>
    </row>
    <row r="16" spans="2:22" ht="21.5" thickBot="1">
      <c r="B16" s="35" t="s">
        <v>26</v>
      </c>
      <c r="C16" s="79" t="e">
        <f>H24</f>
        <v>#N/A</v>
      </c>
      <c r="D16" s="434" t="e">
        <f>H19+H23</f>
        <v>#DIV/0!</v>
      </c>
      <c r="E16" s="315" t="e">
        <f>C16-D16</f>
        <v>#N/A</v>
      </c>
      <c r="G16" s="43" t="s">
        <v>19</v>
      </c>
      <c r="H16" s="104">
        <f t="shared" si="1"/>
        <v>0</v>
      </c>
      <c r="J16" s="43" t="s">
        <v>19</v>
      </c>
      <c r="K16" s="104">
        <v>0</v>
      </c>
      <c r="M16" s="43" t="s">
        <v>19</v>
      </c>
      <c r="N16" s="102">
        <f>ROUND(C23*C14,4)</f>
        <v>0</v>
      </c>
      <c r="P16" s="290"/>
      <c r="Q16" s="291"/>
      <c r="R16" s="291"/>
      <c r="S16" s="291"/>
      <c r="T16" s="291"/>
      <c r="U16" s="291"/>
      <c r="V16" s="292"/>
    </row>
    <row r="17" spans="2:22" ht="15" thickBot="1">
      <c r="C17" s="25"/>
      <c r="G17" s="43" t="s">
        <v>38</v>
      </c>
      <c r="H17" s="49" t="e">
        <f t="shared" si="1"/>
        <v>#DIV/0!</v>
      </c>
      <c r="J17" s="43" t="s">
        <v>38</v>
      </c>
      <c r="K17" s="49" t="e">
        <f>SUM(K13:K16)</f>
        <v>#DIV/0!</v>
      </c>
      <c r="M17" s="43" t="s">
        <v>38</v>
      </c>
      <c r="N17" s="95" t="e">
        <f>SUM(N13:N16)</f>
        <v>#N/A</v>
      </c>
      <c r="P17" s="75"/>
      <c r="Q17" s="75"/>
      <c r="R17" s="77"/>
      <c r="S17" s="91"/>
      <c r="T17" s="92"/>
      <c r="U17" s="76"/>
      <c r="V17" s="76"/>
    </row>
    <row r="18" spans="2:22" ht="15" thickBot="1">
      <c r="B18" s="52" t="s">
        <v>3</v>
      </c>
      <c r="C18" s="432">
        <f>IF(C6="Domestic",0,IF(C15&gt;=7.1%,Rates!B28,Rates!B27))</f>
        <v>0.35099999999999998</v>
      </c>
      <c r="D18" s="319"/>
      <c r="E18" s="319"/>
      <c r="F18" s="319"/>
      <c r="G18" s="43" t="s">
        <v>21</v>
      </c>
      <c r="H18" s="104" t="e">
        <f t="shared" si="1"/>
        <v>#DIV/0!</v>
      </c>
      <c r="I18" s="319"/>
      <c r="J18" s="43" t="s">
        <v>21</v>
      </c>
      <c r="K18" s="104" t="e">
        <f>ROUND(K17*C24,4)</f>
        <v>#DIV/0!</v>
      </c>
      <c r="M18" s="43" t="s">
        <v>21</v>
      </c>
      <c r="N18" s="102" t="e">
        <f>ROUND(N17*C24,4)</f>
        <v>#N/A</v>
      </c>
      <c r="P18" s="527" t="s">
        <v>496</v>
      </c>
      <c r="Q18" s="528"/>
      <c r="S18" s="496"/>
      <c r="T18" s="496"/>
      <c r="U18" s="284"/>
      <c r="V18" s="284"/>
    </row>
    <row r="19" spans="2:22">
      <c r="B19" s="43" t="s">
        <v>7</v>
      </c>
      <c r="C19" s="353" t="e">
        <f>VLOOKUP((C4&amp;C5&amp;C6),Rates!I:J,2,FALSE)</f>
        <v>#N/A</v>
      </c>
      <c r="D19" s="324"/>
      <c r="E19" s="324"/>
      <c r="F19" s="324"/>
      <c r="G19" s="43" t="s">
        <v>39</v>
      </c>
      <c r="H19" s="49" t="e">
        <f t="shared" si="1"/>
        <v>#DIV/0!</v>
      </c>
      <c r="I19" s="324"/>
      <c r="J19" s="43" t="s">
        <v>39</v>
      </c>
      <c r="K19" s="49" t="e">
        <f>SUM(K17:K18)</f>
        <v>#DIV/0!</v>
      </c>
      <c r="M19" s="43" t="s">
        <v>39</v>
      </c>
      <c r="N19" s="95" t="e">
        <f>SUM(N17:N18)</f>
        <v>#N/A</v>
      </c>
      <c r="P19" s="530" t="s">
        <v>497</v>
      </c>
      <c r="Q19" s="534" t="e">
        <f>H17</f>
        <v>#DIV/0!</v>
      </c>
      <c r="S19" s="496"/>
      <c r="T19" s="496"/>
      <c r="U19" s="284"/>
      <c r="V19" s="284"/>
    </row>
    <row r="20" spans="2:22">
      <c r="B20" s="27" t="s">
        <v>95</v>
      </c>
      <c r="C20" s="354" t="e">
        <f>VLOOKUP(C6,Rates!B142:D147,3,FALSE)</f>
        <v>#N/A</v>
      </c>
      <c r="D20" s="320"/>
      <c r="E20" s="320"/>
      <c r="F20" s="320"/>
      <c r="G20" s="331" t="s">
        <v>288</v>
      </c>
      <c r="H20" s="49" t="e">
        <f>H22-H21</f>
        <v>#N/A</v>
      </c>
      <c r="I20" s="320"/>
      <c r="J20" s="43"/>
      <c r="K20" s="45"/>
      <c r="L20" s="75"/>
      <c r="M20" s="43"/>
      <c r="N20" s="45"/>
      <c r="P20" s="530"/>
      <c r="Q20" s="535"/>
      <c r="S20" s="496"/>
      <c r="T20" s="496"/>
      <c r="U20" s="284"/>
      <c r="V20" s="284"/>
    </row>
    <row r="21" spans="2:22">
      <c r="B21" s="43" t="s">
        <v>96</v>
      </c>
      <c r="C21" s="356" t="e">
        <f>VLOOKUP(C4,Rates!A72:B75,2,0)</f>
        <v>#N/A</v>
      </c>
      <c r="D21" s="574" t="s">
        <v>284</v>
      </c>
      <c r="E21" s="575"/>
      <c r="F21" s="320"/>
      <c r="G21" s="331" t="s">
        <v>21</v>
      </c>
      <c r="H21" s="105" t="e">
        <f>ROUND(H22*C24/(1+C24),2)</f>
        <v>#N/A</v>
      </c>
      <c r="I21" s="320"/>
      <c r="J21" s="43"/>
      <c r="K21" s="45"/>
      <c r="L21" s="75"/>
      <c r="M21" s="43"/>
      <c r="N21" s="45"/>
      <c r="P21" s="530" t="s">
        <v>498</v>
      </c>
      <c r="Q21" s="534" t="e">
        <f>SUM(Q19*10%)</f>
        <v>#DIV/0!</v>
      </c>
      <c r="S21" s="496"/>
      <c r="T21" s="497"/>
      <c r="U21" s="284"/>
      <c r="V21" s="284"/>
    </row>
    <row r="22" spans="2:22">
      <c r="B22" s="43" t="s">
        <v>36</v>
      </c>
      <c r="C22" s="354">
        <f>Rates!B54</f>
        <v>0.38</v>
      </c>
      <c r="D22" s="316" t="e">
        <f>C39</f>
        <v>#N/A</v>
      </c>
      <c r="E22" s="315" t="e">
        <f>D22-C22</f>
        <v>#N/A</v>
      </c>
      <c r="F22" s="320"/>
      <c r="G22" s="331" t="s">
        <v>49</v>
      </c>
      <c r="H22" s="50" t="e">
        <f>IF(C39&lt;C21,C37+0.05,C37)+K22</f>
        <v>#N/A</v>
      </c>
      <c r="I22" s="411"/>
      <c r="J22" s="48" t="s">
        <v>41</v>
      </c>
      <c r="K22" s="50" t="e">
        <f>CEILING(K19,0.05)</f>
        <v>#DIV/0!</v>
      </c>
      <c r="L22" s="75"/>
      <c r="M22" s="48" t="s">
        <v>41</v>
      </c>
      <c r="N22" s="50" t="e">
        <f>CEILING(N19,0.05)</f>
        <v>#N/A</v>
      </c>
      <c r="P22" s="530" t="s">
        <v>500</v>
      </c>
      <c r="Q22" s="534" t="e">
        <f>SUM(Q19-Q21)</f>
        <v>#DIV/0!</v>
      </c>
      <c r="S22" s="496"/>
      <c r="T22" s="498"/>
      <c r="U22" s="284"/>
      <c r="V22" s="284"/>
    </row>
    <row r="23" spans="2:22" ht="15" thickBot="1">
      <c r="B23" s="43" t="s">
        <v>19</v>
      </c>
      <c r="C23" s="354">
        <f>Rates!B77</f>
        <v>8.9300000000000004E-2</v>
      </c>
      <c r="D23" s="411"/>
      <c r="E23" s="411"/>
      <c r="F23" s="411"/>
      <c r="G23" s="43" t="s">
        <v>42</v>
      </c>
      <c r="H23" s="51" t="e">
        <f>ROUND(C14*C25,2)</f>
        <v>#DIV/0!</v>
      </c>
      <c r="I23" s="320"/>
      <c r="J23" s="43"/>
      <c r="K23" s="45"/>
      <c r="M23" s="43"/>
      <c r="N23" s="45"/>
      <c r="P23" s="530" t="s">
        <v>21</v>
      </c>
      <c r="Q23" s="534" t="e">
        <f>SUM(Q22*C24)</f>
        <v>#DIV/0!</v>
      </c>
      <c r="S23" s="496"/>
      <c r="T23" s="498"/>
      <c r="U23" s="284"/>
      <c r="V23" s="284"/>
    </row>
    <row r="24" spans="2:22" ht="16" thickBot="1">
      <c r="B24" s="43" t="s">
        <v>21</v>
      </c>
      <c r="C24" s="356">
        <f>Rates!B79</f>
        <v>0.13</v>
      </c>
      <c r="D24" s="320"/>
      <c r="E24" s="320"/>
      <c r="F24" s="320"/>
      <c r="G24" s="57" t="s">
        <v>43</v>
      </c>
      <c r="H24" s="58" t="e">
        <f>H22+H23</f>
        <v>#N/A</v>
      </c>
      <c r="I24" s="320"/>
      <c r="J24" s="57"/>
      <c r="K24" s="58"/>
      <c r="M24" s="57"/>
      <c r="N24" s="58"/>
      <c r="P24" s="530" t="s">
        <v>499</v>
      </c>
      <c r="Q24" s="534" t="e">
        <f>C25</f>
        <v>#DIV/0!</v>
      </c>
      <c r="S24" s="284"/>
      <c r="T24" s="284"/>
      <c r="U24" s="284"/>
      <c r="V24" s="284"/>
    </row>
    <row r="25" spans="2:22" ht="15" thickBot="1">
      <c r="B25" s="56" t="s">
        <v>23</v>
      </c>
      <c r="C25" s="355" t="e">
        <f>IF(C12/C14&gt;0.63,0.2,IF(C12/C14&gt;0.1,0.1,0))</f>
        <v>#DIV/0!</v>
      </c>
      <c r="D25" s="320"/>
      <c r="E25" s="320"/>
      <c r="F25" s="320"/>
      <c r="G25" s="583" t="e">
        <f>IF(C9/C7&gt;40%,"VP Approval Required because packaging costs are greater than 40% of the total cost","")</f>
        <v>#DIV/0!</v>
      </c>
      <c r="H25" s="583"/>
      <c r="I25" s="583"/>
      <c r="J25" s="583"/>
      <c r="K25" s="583"/>
      <c r="P25" s="527" t="s">
        <v>501</v>
      </c>
      <c r="Q25" s="536" t="e">
        <f>SUM(Q22+Q23+Q24)</f>
        <v>#DIV/0!</v>
      </c>
      <c r="S25" s="284"/>
      <c r="T25" s="284"/>
      <c r="U25" s="284"/>
      <c r="V25" s="284"/>
    </row>
    <row r="26" spans="2:22">
      <c r="D26" s="412"/>
      <c r="E26" s="412"/>
      <c r="F26" s="412"/>
      <c r="G26" s="583"/>
      <c r="H26" s="583"/>
      <c r="I26" s="583"/>
      <c r="J26" s="583"/>
      <c r="K26" s="583"/>
      <c r="P26" s="533" t="s">
        <v>502</v>
      </c>
      <c r="S26" s="284"/>
      <c r="T26" s="284"/>
      <c r="U26" s="284"/>
      <c r="V26" s="284"/>
    </row>
    <row r="27" spans="2:22">
      <c r="D27" s="320"/>
      <c r="E27" s="320"/>
      <c r="F27" s="320"/>
      <c r="G27" s="411"/>
      <c r="H27" s="411"/>
      <c r="I27" s="411"/>
      <c r="J27" s="83"/>
    </row>
    <row r="28" spans="2:22">
      <c r="D28" s="320"/>
      <c r="E28" s="320"/>
      <c r="F28" s="320"/>
      <c r="G28" s="320"/>
      <c r="H28" s="320"/>
      <c r="I28" s="320"/>
      <c r="J28" s="82"/>
    </row>
    <row r="29" spans="2:22">
      <c r="D29" s="320"/>
      <c r="E29" s="320"/>
      <c r="F29" s="320"/>
      <c r="G29" s="411"/>
      <c r="H29" s="411"/>
      <c r="I29" s="411"/>
      <c r="J29" s="82"/>
    </row>
    <row r="30" spans="2:22">
      <c r="D30" s="411"/>
      <c r="E30" s="411"/>
      <c r="F30" s="411"/>
      <c r="G30" s="320"/>
      <c r="H30" s="320"/>
      <c r="I30" s="320"/>
      <c r="J30" s="75"/>
      <c r="K30" s="75"/>
      <c r="L30" s="75"/>
      <c r="M30" s="75"/>
      <c r="N30" s="75"/>
      <c r="P30" s="75"/>
      <c r="Q30" s="75"/>
      <c r="R30" s="75"/>
      <c r="S30" s="75"/>
      <c r="T30" s="75"/>
      <c r="U30" s="75"/>
      <c r="V30" s="75"/>
    </row>
    <row r="31" spans="2:22" ht="15" hidden="1" customHeight="1">
      <c r="B31" s="1" t="s">
        <v>44</v>
      </c>
      <c r="C31" s="23" t="e">
        <f>ROUND(((N19-N16-N14-N15)*C13)/N9-1,4)</f>
        <v>#N/A</v>
      </c>
      <c r="D31" s="23"/>
      <c r="E31" s="320"/>
      <c r="F31" s="320"/>
      <c r="G31" s="320"/>
      <c r="H31" s="320"/>
      <c r="I31" s="320"/>
      <c r="J31" s="75"/>
      <c r="K31" s="75"/>
      <c r="L31" s="75"/>
      <c r="M31" s="75"/>
      <c r="N31" s="75"/>
      <c r="P31" s="75"/>
      <c r="Q31" s="75"/>
      <c r="R31" s="75"/>
      <c r="S31" s="75"/>
      <c r="T31" s="75"/>
      <c r="U31" s="75"/>
      <c r="V31" s="75"/>
    </row>
    <row r="32" spans="2:22" hidden="1">
      <c r="B32" s="1" t="s">
        <v>45</v>
      </c>
      <c r="C32" s="30" t="e">
        <f>ROUND(+H20-(N9/C13),4)</f>
        <v>#N/A</v>
      </c>
      <c r="D32" s="30"/>
      <c r="E32" s="411"/>
      <c r="F32" s="411"/>
      <c r="G32" s="320"/>
      <c r="H32" s="320"/>
      <c r="I32" s="320"/>
      <c r="J32" s="9"/>
      <c r="K32" s="75"/>
      <c r="L32" s="75"/>
      <c r="M32" s="75"/>
      <c r="N32" s="75"/>
      <c r="P32" s="75"/>
      <c r="Q32" s="75"/>
      <c r="R32" s="75"/>
      <c r="S32" s="75"/>
      <c r="T32" s="75"/>
      <c r="U32" s="75"/>
      <c r="V32" s="75"/>
    </row>
    <row r="33" spans="2:22" s="75" customFormat="1" hidden="1">
      <c r="B33" s="1" t="s">
        <v>46</v>
      </c>
      <c r="C33" s="20" t="e">
        <f>ROUND(C32/N17,3)</f>
        <v>#N/A</v>
      </c>
      <c r="D33" s="20"/>
      <c r="E33" s="320"/>
      <c r="F33" s="320"/>
      <c r="G33" s="6"/>
      <c r="H33" s="6"/>
      <c r="I33" s="413"/>
      <c r="J33" s="14"/>
      <c r="K33" s="1"/>
      <c r="L33" s="1"/>
      <c r="M33" s="1"/>
      <c r="N33" s="1"/>
      <c r="P33" s="1"/>
      <c r="Q33" s="1"/>
      <c r="R33" s="1"/>
      <c r="S33" s="1"/>
      <c r="T33" s="1"/>
      <c r="U33" s="1"/>
      <c r="V33" s="1"/>
    </row>
    <row r="34" spans="2:22" s="75" customFormat="1" hidden="1">
      <c r="B34" s="1"/>
      <c r="C34" s="20"/>
      <c r="D34" s="20"/>
      <c r="E34" s="320"/>
      <c r="F34" s="320"/>
      <c r="G34" s="6"/>
      <c r="H34" s="6"/>
      <c r="I34" s="320"/>
      <c r="J34" s="14"/>
      <c r="K34" s="1"/>
      <c r="L34" s="1"/>
      <c r="M34" s="1"/>
      <c r="N34" s="1"/>
      <c r="P34" s="1"/>
      <c r="Q34" s="1"/>
      <c r="R34" s="1"/>
      <c r="S34" s="1"/>
      <c r="T34" s="1"/>
      <c r="U34" s="1"/>
      <c r="V34" s="1"/>
    </row>
    <row r="35" spans="2:22" s="75" customFormat="1" hidden="1">
      <c r="B35" s="1" t="s">
        <v>48</v>
      </c>
      <c r="C35" s="85" t="e">
        <f>C37-C36</f>
        <v>#N/A</v>
      </c>
      <c r="D35" s="85"/>
      <c r="E35" s="320"/>
      <c r="F35" s="320"/>
      <c r="G35" s="319"/>
      <c r="H35" s="319"/>
      <c r="I35" s="319"/>
      <c r="J35" s="87"/>
      <c r="K35" s="1"/>
      <c r="L35" s="1"/>
      <c r="M35" s="1"/>
      <c r="N35" s="1"/>
      <c r="P35" s="1"/>
      <c r="Q35" s="1"/>
      <c r="R35" s="1"/>
      <c r="S35" s="1"/>
      <c r="T35" s="1"/>
      <c r="U35" s="1"/>
      <c r="V35" s="1"/>
    </row>
    <row r="36" spans="2:22" hidden="1">
      <c r="B36" s="1" t="s">
        <v>21</v>
      </c>
      <c r="C36" s="85" t="e">
        <f>ROUND(C37*C24/(1+C24),2)</f>
        <v>#N/A</v>
      </c>
      <c r="D36" s="85"/>
      <c r="G36" s="329"/>
      <c r="H36" s="329"/>
      <c r="I36" s="329"/>
    </row>
    <row r="37" spans="2:22" hidden="1">
      <c r="B37" s="1" t="s">
        <v>49</v>
      </c>
      <c r="C37" s="85" t="e">
        <f>IF(MOD(N19*1000,50)&gt;24.99,CEILING(N19,0.05),FLOOR(N19,0.05))</f>
        <v>#N/A</v>
      </c>
      <c r="D37" s="85"/>
      <c r="G37" s="319"/>
      <c r="H37" s="319"/>
      <c r="I37" s="319"/>
    </row>
    <row r="38" spans="2:22" ht="15.5" hidden="1">
      <c r="E38" s="319"/>
      <c r="F38" s="319"/>
      <c r="G38" s="330"/>
      <c r="H38" s="330"/>
      <c r="I38" s="330"/>
      <c r="J38" s="23"/>
    </row>
    <row r="39" spans="2:22" hidden="1">
      <c r="B39" s="9" t="s">
        <v>47</v>
      </c>
      <c r="C39" s="88" t="e">
        <f>ROUND(((C35-N16-N14-N15)*C13)/N9-1,4)</f>
        <v>#N/A</v>
      </c>
      <c r="D39" s="88"/>
      <c r="E39" s="329"/>
      <c r="F39" s="329"/>
    </row>
    <row r="40" spans="2:22">
      <c r="E40" s="319"/>
      <c r="F40" s="319"/>
      <c r="G40" s="23"/>
      <c r="H40" s="23"/>
      <c r="I40" s="23"/>
    </row>
    <row r="41" spans="2:22" ht="15.5">
      <c r="D41" s="330"/>
      <c r="E41" s="330"/>
      <c r="F41" s="330"/>
      <c r="G41" s="30"/>
      <c r="H41" s="30"/>
      <c r="I41" s="30"/>
    </row>
    <row r="42" spans="2:22">
      <c r="G42" s="20"/>
      <c r="H42" s="20"/>
      <c r="I42" s="20"/>
    </row>
    <row r="43" spans="2:22">
      <c r="E43" s="23"/>
      <c r="F43" s="23"/>
      <c r="G43" s="20"/>
      <c r="H43" s="20"/>
      <c r="I43" s="20"/>
    </row>
    <row r="44" spans="2:22">
      <c r="E44" s="30"/>
      <c r="F44" s="30"/>
      <c r="G44" s="85"/>
      <c r="H44" s="85"/>
      <c r="I44" s="85"/>
    </row>
    <row r="45" spans="2:22">
      <c r="E45" s="20"/>
      <c r="F45" s="20"/>
      <c r="G45" s="85"/>
      <c r="H45" s="85"/>
      <c r="I45" s="85"/>
    </row>
    <row r="46" spans="2:22">
      <c r="E46" s="20"/>
      <c r="F46" s="20"/>
      <c r="G46" s="85"/>
      <c r="H46" s="85"/>
      <c r="I46" s="85"/>
    </row>
    <row r="47" spans="2:22">
      <c r="E47" s="85"/>
      <c r="F47" s="85"/>
    </row>
    <row r="48" spans="2:22">
      <c r="E48" s="85"/>
      <c r="F48" s="85"/>
      <c r="G48" s="88"/>
      <c r="H48" s="88"/>
      <c r="I48" s="88"/>
    </row>
    <row r="49" spans="5:6">
      <c r="E49" s="85"/>
      <c r="F49" s="85"/>
    </row>
    <row r="51" spans="5:6">
      <c r="E51" s="88"/>
      <c r="F51" s="88"/>
    </row>
  </sheetData>
  <sheetProtection formatColumns="0" autoFilter="0" pivotTables="0"/>
  <protectedRanges>
    <protectedRange sqref="C10:C15" name="Range1_1"/>
    <protectedRange password="CCE3" sqref="B25" name="Range3"/>
    <protectedRange sqref="C19" name="Range1_1_1"/>
    <protectedRange password="CCE3" sqref="D21" name="Range3_3"/>
  </protectedRanges>
  <mergeCells count="3">
    <mergeCell ref="G25:K26"/>
    <mergeCell ref="D15:E15"/>
    <mergeCell ref="D21:E21"/>
  </mergeCells>
  <conditionalFormatting sqref="E16">
    <cfRule type="cellIs" dxfId="26" priority="4" operator="lessThan">
      <formula>0</formula>
    </cfRule>
    <cfRule type="cellIs" dxfId="25" priority="5" operator="greaterThan">
      <formula>0</formula>
    </cfRule>
    <cfRule type="cellIs" dxfId="24" priority="6" operator="greaterThan">
      <formula>0</formula>
    </cfRule>
  </conditionalFormatting>
  <conditionalFormatting sqref="E22">
    <cfRule type="cellIs" dxfId="23" priority="1" operator="lessThan">
      <formula>0</formula>
    </cfRule>
    <cfRule type="cellIs" dxfId="22" priority="2" operator="greaterThan">
      <formula>0</formula>
    </cfRule>
    <cfRule type="cellIs" dxfId="21" priority="3" operator="greaterThan">
      <formula>0</formula>
    </cfRule>
  </conditionalFormatting>
  <pageMargins left="0.7" right="0.7" top="0.75" bottom="0.75" header="0.3" footer="0.3"/>
  <pageSetup scale="89" orientation="portrait" r:id="rId1"/>
  <colBreaks count="2" manualBreakCount="2">
    <brk id="6" max="50" man="1"/>
    <brk id="11" max="1048575" man="1"/>
  </colBreaks>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prompt="Pick from drop-down list_x000a_" xr:uid="{83742620-86FE-4F4D-B496-BCDCED91328C}">
          <x14:formula1>
            <xm:f>Rates!$A$94:$A$95</xm:f>
          </x14:formula1>
          <xm:sqref>C5 G5:H5</xm:sqref>
        </x14:dataValidation>
        <x14:dataValidation type="list" allowBlank="1" showInputMessage="1" showErrorMessage="1" xr:uid="{58231D63-CDC4-40D7-A445-6D6A13D81206}">
          <x14:formula1>
            <xm:f>Rates!$A$125:$A$128</xm:f>
          </x14:formula1>
          <xm:sqref>C4 G4:H4</xm:sqref>
        </x14:dataValidation>
        <x14:dataValidation type="list" showInputMessage="1" showErrorMessage="1" prompt="Pick from drop-down list_x000a_" xr:uid="{EE3D5136-5765-4960-BC5F-D57788522DF4}">
          <x14:formula1>
            <xm:f>Rates!$B$142:$B$147</xm:f>
          </x14:formula1>
          <xm:sqref>C6 G6:H6</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535A-41A7-41CC-BAE9-67F115DCA9D5}">
  <sheetPr codeName="Sheet11">
    <tabColor theme="9" tint="0.39997558519241921"/>
  </sheetPr>
  <dimension ref="B1:V51"/>
  <sheetViews>
    <sheetView zoomScale="85" zoomScaleNormal="85" workbookViewId="0">
      <selection activeCell="C4" sqref="C4"/>
    </sheetView>
  </sheetViews>
  <sheetFormatPr defaultColWidth="7.4609375" defaultRowHeight="14.5"/>
  <cols>
    <col min="1" max="1" width="1.765625" style="1" customWidth="1"/>
    <col min="2" max="2" width="23.3046875" style="1" customWidth="1"/>
    <col min="3" max="3" width="20.69140625" style="6" customWidth="1"/>
    <col min="4" max="4" width="9.69140625" style="6" customWidth="1"/>
    <col min="5" max="5" width="11.3046875" style="6" customWidth="1"/>
    <col min="6" max="6" width="1.765625" style="6" customWidth="1"/>
    <col min="7" max="7" width="26.69140625" style="6" bestFit="1" customWidth="1"/>
    <col min="8" max="8" width="20.765625" style="6" customWidth="1"/>
    <col min="9" max="9" width="1.765625" style="6" customWidth="1"/>
    <col min="10" max="10" width="19.765625" style="1" bestFit="1" customWidth="1"/>
    <col min="11" max="11" width="20.765625" style="1" customWidth="1"/>
    <col min="12" max="12" width="1.765625" style="1" customWidth="1"/>
    <col min="13" max="13" width="19.765625" style="1" bestFit="1" customWidth="1"/>
    <col min="14" max="14" width="20.765625" style="1" customWidth="1"/>
    <col min="15" max="15" width="1.765625" style="1" customWidth="1"/>
    <col min="16" max="16" width="20.07421875" style="1" bestFit="1" customWidth="1"/>
    <col min="17" max="17" width="10.765625" style="1" customWidth="1"/>
    <col min="18" max="18" width="4.07421875" style="1" customWidth="1"/>
    <col min="19" max="19" width="22.4609375" style="1" customWidth="1"/>
    <col min="20" max="20" width="9.23046875" style="1" customWidth="1"/>
    <col min="21" max="21" width="16.765625" style="1" customWidth="1"/>
    <col min="22" max="22" width="10.4609375" style="1" customWidth="1"/>
    <col min="23" max="16384" width="7.4609375" style="1"/>
  </cols>
  <sheetData>
    <row r="1" spans="2:22" ht="18.5">
      <c r="B1" s="170" t="s">
        <v>488</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97</v>
      </c>
      <c r="C4" s="393"/>
      <c r="G4" s="65" t="s">
        <v>55</v>
      </c>
      <c r="H4" s="99"/>
      <c r="J4" s="65" t="s">
        <v>91</v>
      </c>
      <c r="K4" s="99"/>
      <c r="M4" s="65" t="s">
        <v>92</v>
      </c>
      <c r="N4" s="99"/>
      <c r="P4" s="285" t="s">
        <v>283</v>
      </c>
      <c r="Q4" s="25"/>
      <c r="R4" s="286"/>
      <c r="S4" s="25"/>
      <c r="T4" s="25"/>
      <c r="U4" s="25"/>
      <c r="V4" s="115"/>
    </row>
    <row r="5" spans="2:22" ht="15" thickBot="1">
      <c r="B5" s="32" t="s">
        <v>5</v>
      </c>
      <c r="C5" s="394"/>
      <c r="G5" s="40" t="s">
        <v>28</v>
      </c>
      <c r="H5" s="41">
        <f t="shared" ref="H5:H11" si="0">K5+N5</f>
        <v>0</v>
      </c>
      <c r="J5" s="40" t="s">
        <v>93</v>
      </c>
      <c r="K5" s="41">
        <f>C9*C10</f>
        <v>0</v>
      </c>
      <c r="L5" s="62"/>
      <c r="M5" s="40" t="s">
        <v>94</v>
      </c>
      <c r="N5" s="41">
        <f>ROUND(C8*C10,4)</f>
        <v>0</v>
      </c>
      <c r="P5" s="293"/>
      <c r="Q5" s="294"/>
      <c r="R5" s="294"/>
      <c r="S5" s="294"/>
      <c r="T5" s="294"/>
      <c r="U5" s="294"/>
      <c r="V5" s="295"/>
    </row>
    <row r="6" spans="2:22" ht="15" thickBot="1">
      <c r="B6" s="215" t="s">
        <v>9</v>
      </c>
      <c r="C6" s="394"/>
      <c r="G6" s="27" t="s">
        <v>30</v>
      </c>
      <c r="H6" s="282" t="e">
        <f t="shared" si="0"/>
        <v>#N/A</v>
      </c>
      <c r="J6" s="27" t="s">
        <v>30</v>
      </c>
      <c r="K6" s="49">
        <v>0</v>
      </c>
      <c r="M6" s="27" t="s">
        <v>30</v>
      </c>
      <c r="N6" s="42" t="e">
        <f>IF(C4=Rates!A66, ROUND(C13*C12*C15*C18,4),ROUND(+C13*C12*C18,4))</f>
        <v>#N/A</v>
      </c>
      <c r="P6" s="287"/>
      <c r="Q6" s="288"/>
      <c r="R6" s="288"/>
      <c r="S6" s="288"/>
      <c r="T6" s="288"/>
      <c r="U6" s="288"/>
      <c r="V6" s="289"/>
    </row>
    <row r="7" spans="2:22" ht="15" thickBot="1">
      <c r="B7" s="32" t="s">
        <v>448</v>
      </c>
      <c r="C7" s="395"/>
      <c r="G7" s="27" t="s">
        <v>29</v>
      </c>
      <c r="H7" s="282">
        <f t="shared" si="0"/>
        <v>0</v>
      </c>
      <c r="J7" s="27" t="s">
        <v>29</v>
      </c>
      <c r="K7" s="49">
        <v>0</v>
      </c>
      <c r="M7" s="27" t="s">
        <v>29</v>
      </c>
      <c r="N7" s="42" t="b">
        <f>IF(C4=Rates!A66,ROUND(C13*C12*C15*C19,4),IF(C4=Rates!A67,ROUND((C19*C26),4),IF(C4=Rates!A69,ROUND((C19*C26),4),IF(C4=Rates!A70,ROUND(+N5*C19,4),IF(C4=Rates!A71,ROUND(+C14*C13,4)*C19)))))</f>
        <v>0</v>
      </c>
      <c r="P7" s="287"/>
      <c r="Q7" s="288"/>
      <c r="R7" s="288"/>
      <c r="S7" s="288"/>
      <c r="T7" s="288"/>
      <c r="U7" s="288"/>
      <c r="V7" s="289"/>
    </row>
    <row r="8" spans="2:22" ht="15" thickBot="1">
      <c r="B8" s="100" t="s">
        <v>89</v>
      </c>
      <c r="C8" s="395"/>
      <c r="G8" s="43" t="s">
        <v>16</v>
      </c>
      <c r="H8" s="42">
        <f t="shared" si="0"/>
        <v>0</v>
      </c>
      <c r="J8" s="43" t="s">
        <v>16</v>
      </c>
      <c r="K8" s="49">
        <v>0</v>
      </c>
      <c r="M8" s="43" t="s">
        <v>16</v>
      </c>
      <c r="N8" s="42">
        <f>C11</f>
        <v>0</v>
      </c>
      <c r="P8" s="287"/>
      <c r="Q8" s="288"/>
      <c r="R8" s="288"/>
      <c r="S8" s="288"/>
      <c r="T8" s="288"/>
      <c r="U8" s="288"/>
      <c r="V8" s="289"/>
    </row>
    <row r="9" spans="2:22" ht="15" customHeight="1" thickBot="1">
      <c r="B9" s="100" t="s">
        <v>90</v>
      </c>
      <c r="C9" s="395"/>
      <c r="G9" s="43" t="s">
        <v>31</v>
      </c>
      <c r="H9" s="44" t="e">
        <f t="shared" si="0"/>
        <v>#N/A</v>
      </c>
      <c r="J9" s="43" t="s">
        <v>31</v>
      </c>
      <c r="K9" s="104">
        <f>SUM(K5:K8)</f>
        <v>0</v>
      </c>
      <c r="M9" s="43" t="s">
        <v>31</v>
      </c>
      <c r="N9" s="44" t="e">
        <f>SUM(N5:N8)</f>
        <v>#N/A</v>
      </c>
      <c r="P9" s="287"/>
      <c r="Q9" s="288"/>
      <c r="R9" s="288"/>
      <c r="S9" s="288"/>
      <c r="T9" s="288"/>
      <c r="U9" s="288"/>
      <c r="V9" s="289"/>
    </row>
    <row r="10" spans="2:22" ht="15.75" customHeight="1" thickBot="1">
      <c r="B10" s="215" t="s">
        <v>14</v>
      </c>
      <c r="C10" s="396"/>
      <c r="G10" s="43" t="s">
        <v>57</v>
      </c>
      <c r="H10" s="45" t="e">
        <f t="shared" si="0"/>
        <v>#N/A</v>
      </c>
      <c r="J10" s="43" t="s">
        <v>57</v>
      </c>
      <c r="K10" s="49">
        <v>0</v>
      </c>
      <c r="M10" s="43" t="s">
        <v>57</v>
      </c>
      <c r="N10" s="45" t="e">
        <f>ROUND(N9*C20,4)</f>
        <v>#N/A</v>
      </c>
      <c r="P10" s="287"/>
      <c r="Q10" s="288"/>
      <c r="R10" s="288"/>
      <c r="S10" s="288"/>
      <c r="T10" s="288"/>
      <c r="U10" s="288"/>
      <c r="V10" s="289"/>
    </row>
    <row r="11" spans="2:22" ht="15" thickBot="1">
      <c r="B11" s="217" t="s">
        <v>16</v>
      </c>
      <c r="C11" s="395"/>
      <c r="G11" s="43" t="s">
        <v>58</v>
      </c>
      <c r="H11" s="42" t="e">
        <f t="shared" si="0"/>
        <v>#N/A</v>
      </c>
      <c r="J11" s="43" t="s">
        <v>58</v>
      </c>
      <c r="K11" s="49">
        <f>SUM(K9:K10)</f>
        <v>0</v>
      </c>
      <c r="M11" s="43" t="s">
        <v>58</v>
      </c>
      <c r="N11" s="42" t="e">
        <f>SUM(N9:N10)</f>
        <v>#N/A</v>
      </c>
      <c r="P11" s="287"/>
      <c r="Q11" s="288"/>
      <c r="R11" s="288"/>
      <c r="S11" s="288"/>
      <c r="T11" s="288"/>
      <c r="U11" s="288"/>
      <c r="V11" s="289"/>
    </row>
    <row r="12" spans="2:22" ht="15" thickBot="1">
      <c r="B12" s="216" t="s">
        <v>18</v>
      </c>
      <c r="C12" s="397"/>
      <c r="G12" s="43"/>
      <c r="H12" s="80"/>
      <c r="J12" s="43"/>
      <c r="K12" s="86"/>
      <c r="M12" s="43"/>
      <c r="N12" s="80"/>
      <c r="P12" s="287"/>
      <c r="Q12" s="288"/>
      <c r="R12" s="288"/>
      <c r="S12" s="288"/>
      <c r="T12" s="288"/>
      <c r="U12" s="288"/>
      <c r="V12" s="289"/>
    </row>
    <row r="13" spans="2:22" ht="15" thickBot="1">
      <c r="B13" s="215" t="s">
        <v>20</v>
      </c>
      <c r="C13" s="398"/>
      <c r="G13" s="43" t="s">
        <v>35</v>
      </c>
      <c r="H13" s="45" t="e">
        <f t="shared" ref="H13:H19" si="1">K13+N13</f>
        <v>#DIV/0!</v>
      </c>
      <c r="J13" s="43" t="s">
        <v>35</v>
      </c>
      <c r="K13" s="49" t="e">
        <f>ROUND(K11/C13,4)</f>
        <v>#DIV/0!</v>
      </c>
      <c r="M13" s="43" t="s">
        <v>35</v>
      </c>
      <c r="N13" s="45" t="e">
        <f>ROUND(N11/C13,4)</f>
        <v>#N/A</v>
      </c>
      <c r="P13" s="287"/>
      <c r="Q13" s="288"/>
      <c r="R13" s="288"/>
      <c r="S13" s="288"/>
      <c r="T13" s="288"/>
      <c r="U13" s="288"/>
      <c r="V13" s="289"/>
    </row>
    <row r="14" spans="2:22" ht="15" thickBot="1">
      <c r="B14" s="215" t="s">
        <v>22</v>
      </c>
      <c r="C14" s="398"/>
      <c r="G14" s="43" t="s">
        <v>36</v>
      </c>
      <c r="H14" s="42">
        <f t="shared" si="1"/>
        <v>0</v>
      </c>
      <c r="J14" s="43" t="s">
        <v>36</v>
      </c>
      <c r="K14" s="49">
        <v>0</v>
      </c>
      <c r="M14" s="43" t="s">
        <v>36</v>
      </c>
      <c r="N14" s="42">
        <f>ROUND(C21*C12,4)</f>
        <v>0</v>
      </c>
      <c r="P14" s="287"/>
      <c r="Q14" s="288"/>
      <c r="R14" s="288"/>
      <c r="S14" s="288"/>
      <c r="T14" s="288"/>
      <c r="U14" s="288"/>
      <c r="V14" s="289"/>
    </row>
    <row r="15" spans="2:22" ht="15.75" customHeight="1" thickBot="1">
      <c r="B15" s="218" t="s">
        <v>24</v>
      </c>
      <c r="C15" s="438"/>
      <c r="D15" s="574" t="s">
        <v>289</v>
      </c>
      <c r="E15" s="575"/>
      <c r="G15" s="43" t="s">
        <v>37</v>
      </c>
      <c r="H15" s="42" t="e">
        <f t="shared" si="1"/>
        <v>#N/A</v>
      </c>
      <c r="J15" s="43" t="s">
        <v>37</v>
      </c>
      <c r="K15" s="49">
        <v>0</v>
      </c>
      <c r="M15" s="43" t="s">
        <v>37</v>
      </c>
      <c r="N15" s="42" t="e">
        <f>ROUND(C12*C25,4)</f>
        <v>#N/A</v>
      </c>
      <c r="P15" s="287"/>
      <c r="Q15" s="288"/>
      <c r="R15" s="288"/>
      <c r="S15" s="288"/>
      <c r="T15" s="288"/>
      <c r="U15" s="288"/>
      <c r="V15" s="289"/>
    </row>
    <row r="16" spans="2:22" ht="15" thickBot="1">
      <c r="B16" s="335" t="s">
        <v>26</v>
      </c>
      <c r="C16" s="377" t="e">
        <f>H24</f>
        <v>#N/A</v>
      </c>
      <c r="D16" s="434" t="e">
        <f>H22+H23</f>
        <v>#N/A</v>
      </c>
      <c r="E16" s="315" t="e">
        <f>C16-D16</f>
        <v>#N/A</v>
      </c>
      <c r="G16" s="43" t="s">
        <v>19</v>
      </c>
      <c r="H16" s="46">
        <f t="shared" si="1"/>
        <v>0</v>
      </c>
      <c r="J16" s="43" t="s">
        <v>19</v>
      </c>
      <c r="K16" s="104">
        <v>0</v>
      </c>
      <c r="M16" s="43" t="s">
        <v>19</v>
      </c>
      <c r="N16" s="46">
        <f>ROUND(C22*C14,4)</f>
        <v>0</v>
      </c>
      <c r="P16" s="290"/>
      <c r="Q16" s="291"/>
      <c r="R16" s="291"/>
      <c r="S16" s="291"/>
      <c r="T16" s="291"/>
      <c r="U16" s="291"/>
      <c r="V16" s="292"/>
    </row>
    <row r="17" spans="2:22" ht="15" thickBot="1">
      <c r="C17" s="25"/>
      <c r="G17" s="43" t="s">
        <v>38</v>
      </c>
      <c r="H17" s="45" t="e">
        <f t="shared" si="1"/>
        <v>#DIV/0!</v>
      </c>
      <c r="J17" s="43" t="s">
        <v>38</v>
      </c>
      <c r="K17" s="49" t="e">
        <f>SUM(K13:K16)</f>
        <v>#DIV/0!</v>
      </c>
      <c r="M17" s="43" t="s">
        <v>38</v>
      </c>
      <c r="N17" s="45" t="e">
        <f>SUM(N13:N16)</f>
        <v>#N/A</v>
      </c>
      <c r="R17" s="29"/>
      <c r="S17" s="18"/>
      <c r="T17" s="18"/>
    </row>
    <row r="18" spans="2:22" ht="15" thickBot="1">
      <c r="B18" s="52" t="s">
        <v>3</v>
      </c>
      <c r="C18" s="376" t="e">
        <f>IF(C6="Domestic",(VLOOKUP(C4,Rates!E18:G27,3,FALSE)),(VLOOKUP(C4,Rates!E18:F27,2,FALSE)))</f>
        <v>#N/A</v>
      </c>
      <c r="G18" s="43" t="s">
        <v>21</v>
      </c>
      <c r="H18" s="44" t="e">
        <f t="shared" si="1"/>
        <v>#DIV/0!</v>
      </c>
      <c r="J18" s="43" t="s">
        <v>21</v>
      </c>
      <c r="K18" s="104" t="e">
        <f>ROUND(K17*C23,4)</f>
        <v>#DIV/0!</v>
      </c>
      <c r="M18" s="43" t="s">
        <v>21</v>
      </c>
      <c r="N18" s="44" t="e">
        <f>ROUND(N17*C23,4)</f>
        <v>#N/A</v>
      </c>
      <c r="P18" s="527" t="s">
        <v>496</v>
      </c>
      <c r="Q18" s="528"/>
    </row>
    <row r="19" spans="2:22">
      <c r="B19" s="43" t="s">
        <v>7</v>
      </c>
      <c r="C19" s="353">
        <f>IF(C5="Y",0,(IF(C6="Domestic",0,IF(C4="Still Cider",Rates!B130,IF(C4="Sparkling Cider",Rates!B131,Rates!B132)))))</f>
        <v>0.12280000000000001</v>
      </c>
      <c r="D19" s="574" t="s">
        <v>284</v>
      </c>
      <c r="E19" s="575"/>
      <c r="F19" s="324"/>
      <c r="G19" s="43" t="s">
        <v>39</v>
      </c>
      <c r="H19" s="45" t="e">
        <f t="shared" si="1"/>
        <v>#DIV/0!</v>
      </c>
      <c r="I19" s="324"/>
      <c r="J19" s="43" t="s">
        <v>39</v>
      </c>
      <c r="K19" s="49" t="e">
        <f>SUM(K17:K18)</f>
        <v>#DIV/0!</v>
      </c>
      <c r="M19" s="43" t="s">
        <v>39</v>
      </c>
      <c r="N19" s="45" t="e">
        <f>SUM(N17:N18)</f>
        <v>#N/A</v>
      </c>
      <c r="P19" s="530" t="s">
        <v>497</v>
      </c>
      <c r="Q19" s="534" t="e">
        <f>H17</f>
        <v>#DIV/0!</v>
      </c>
      <c r="R19" s="75"/>
      <c r="S19" s="75"/>
      <c r="T19" s="75"/>
    </row>
    <row r="20" spans="2:22">
      <c r="B20" s="43" t="s">
        <v>99</v>
      </c>
      <c r="C20" s="356" t="e">
        <f>VLOOKUP(C4,Rates!A66:B71,2,0)</f>
        <v>#N/A</v>
      </c>
      <c r="D20" s="316" t="e">
        <f>C40</f>
        <v>#N/A</v>
      </c>
      <c r="E20" s="315" t="e">
        <f>D20-C20</f>
        <v>#N/A</v>
      </c>
      <c r="F20" s="321"/>
      <c r="G20" s="331" t="s">
        <v>288</v>
      </c>
      <c r="H20" s="49" t="e">
        <f>H22-H21</f>
        <v>#N/A</v>
      </c>
      <c r="I20" s="321"/>
      <c r="J20" s="43"/>
      <c r="K20" s="45"/>
      <c r="L20" s="75"/>
      <c r="M20" s="48"/>
      <c r="N20" s="49"/>
      <c r="P20" s="530"/>
      <c r="Q20" s="535"/>
      <c r="R20" s="75"/>
      <c r="S20" s="75"/>
      <c r="T20" s="75"/>
    </row>
    <row r="21" spans="2:22">
      <c r="B21" s="43" t="s">
        <v>100</v>
      </c>
      <c r="C21" s="354">
        <f>IF(C4=Rates!A66,Rates!B54,Rates!B55)</f>
        <v>0.28000000000000003</v>
      </c>
      <c r="D21" s="321"/>
      <c r="E21" s="321"/>
      <c r="F21" s="321"/>
      <c r="G21" s="331" t="s">
        <v>21</v>
      </c>
      <c r="H21" s="78" t="e">
        <f>ROUND(H22*C23/(1+C23),2)</f>
        <v>#N/A</v>
      </c>
      <c r="I21" s="321"/>
      <c r="J21" s="43"/>
      <c r="K21" s="45"/>
      <c r="M21" s="48"/>
      <c r="N21" s="49"/>
      <c r="P21" s="530" t="s">
        <v>498</v>
      </c>
      <c r="Q21" s="534" t="e">
        <f>SUM(Q19*10%)</f>
        <v>#DIV/0!</v>
      </c>
      <c r="R21" s="75"/>
      <c r="S21" s="75"/>
      <c r="T21" s="75"/>
    </row>
    <row r="22" spans="2:22">
      <c r="B22" s="43" t="s">
        <v>101</v>
      </c>
      <c r="C22" s="354">
        <f>Rates!B77</f>
        <v>8.9300000000000004E-2</v>
      </c>
      <c r="D22" s="321"/>
      <c r="E22" s="321"/>
      <c r="F22" s="321"/>
      <c r="G22" s="331" t="s">
        <v>49</v>
      </c>
      <c r="H22" s="50" t="e">
        <f>IF(C40&lt;C20,C38+0.05,C38)+K22</f>
        <v>#N/A</v>
      </c>
      <c r="I22" s="323"/>
      <c r="J22" s="48" t="s">
        <v>41</v>
      </c>
      <c r="K22" s="50" t="e">
        <f>CEILING(K19,0.05)</f>
        <v>#DIV/0!</v>
      </c>
      <c r="M22" s="48" t="s">
        <v>41</v>
      </c>
      <c r="N22" s="50" t="e">
        <f>CEILING(N19,0.05)</f>
        <v>#N/A</v>
      </c>
      <c r="P22" s="530" t="s">
        <v>500</v>
      </c>
      <c r="Q22" s="534" t="e">
        <f>SUM(Q19-Q21)</f>
        <v>#DIV/0!</v>
      </c>
    </row>
    <row r="23" spans="2:22" ht="15" thickBot="1">
      <c r="B23" s="43" t="s">
        <v>21</v>
      </c>
      <c r="C23" s="356">
        <f>Rates!B79</f>
        <v>0.13</v>
      </c>
      <c r="D23" s="323"/>
      <c r="E23" s="323"/>
      <c r="F23" s="323"/>
      <c r="G23" s="43" t="s">
        <v>42</v>
      </c>
      <c r="H23" s="51" t="e">
        <f>ROUND(C14*C24,2)</f>
        <v>#DIV/0!</v>
      </c>
      <c r="I23" s="321"/>
      <c r="J23" s="27"/>
      <c r="K23" s="47"/>
      <c r="M23" s="43"/>
      <c r="N23" s="51"/>
      <c r="P23" s="530" t="s">
        <v>21</v>
      </c>
      <c r="Q23" s="534" t="e">
        <f>SUM(Q22*C23)</f>
        <v>#DIV/0!</v>
      </c>
    </row>
    <row r="24" spans="2:22" ht="16" thickBot="1">
      <c r="B24" s="43" t="s">
        <v>23</v>
      </c>
      <c r="C24" s="354" t="e">
        <f>IF(C12/C14&gt;0.63,0.2,IF(C12/C14&gt;0.1,0.1,0))</f>
        <v>#DIV/0!</v>
      </c>
      <c r="D24" s="324"/>
      <c r="E24" s="324"/>
      <c r="F24" s="324"/>
      <c r="G24" s="57" t="s">
        <v>43</v>
      </c>
      <c r="H24" s="58" t="e">
        <f>SUM(H22:H23)</f>
        <v>#N/A</v>
      </c>
      <c r="I24" s="324"/>
      <c r="J24" s="57"/>
      <c r="K24" s="58"/>
      <c r="M24" s="57"/>
      <c r="N24" s="58"/>
      <c r="P24" s="530" t="s">
        <v>499</v>
      </c>
      <c r="Q24" s="534" t="e">
        <f>C24</f>
        <v>#DIV/0!</v>
      </c>
    </row>
    <row r="25" spans="2:22" ht="15" thickBot="1">
      <c r="B25" s="27" t="s">
        <v>95</v>
      </c>
      <c r="C25" s="354" t="e">
        <f>VLOOKUP(C4&amp;C6,Rates!C:D,2,FALSE)</f>
        <v>#N/A</v>
      </c>
      <c r="D25" s="321"/>
      <c r="E25" s="321"/>
      <c r="F25" s="321"/>
      <c r="G25" s="583" t="e">
        <f>IF(C9/C7&gt;40%,"VP Approval Required because packaging costs are greater than 40% of the total cost","")</f>
        <v>#DIV/0!</v>
      </c>
      <c r="H25" s="583"/>
      <c r="I25" s="583"/>
      <c r="J25" s="583"/>
      <c r="K25" s="583"/>
      <c r="P25" s="527" t="s">
        <v>501</v>
      </c>
      <c r="Q25" s="536" t="e">
        <f>SUM(Q22+Q23+Q24)</f>
        <v>#DIV/0!</v>
      </c>
    </row>
    <row r="26" spans="2:22" ht="15" thickBot="1">
      <c r="B26" s="56" t="s">
        <v>25</v>
      </c>
      <c r="C26" s="362">
        <f>+ROUND(((C12*C13)*C15),4)</f>
        <v>0</v>
      </c>
      <c r="D26" s="325"/>
      <c r="E26" s="325"/>
      <c r="F26" s="325"/>
      <c r="G26" s="583"/>
      <c r="H26" s="583"/>
      <c r="I26" s="583"/>
      <c r="J26" s="583"/>
      <c r="K26" s="583"/>
      <c r="P26" s="533" t="s">
        <v>502</v>
      </c>
    </row>
    <row r="27" spans="2:22">
      <c r="D27" s="324"/>
      <c r="E27" s="324"/>
      <c r="F27" s="324"/>
      <c r="G27" s="326"/>
      <c r="H27" s="326"/>
      <c r="I27" s="326"/>
      <c r="J27" s="82"/>
      <c r="O27" s="23"/>
    </row>
    <row r="28" spans="2:22">
      <c r="D28" s="321"/>
      <c r="E28" s="321"/>
      <c r="F28" s="321"/>
      <c r="G28" s="324"/>
      <c r="H28" s="324"/>
      <c r="I28" s="324"/>
      <c r="J28" s="82"/>
    </row>
    <row r="29" spans="2:22">
      <c r="D29" s="321"/>
      <c r="E29" s="321"/>
      <c r="F29" s="321"/>
      <c r="G29" s="323"/>
      <c r="H29" s="323"/>
      <c r="I29" s="323"/>
      <c r="J29" s="75"/>
      <c r="K29" s="75"/>
      <c r="L29" s="75"/>
      <c r="M29" s="75"/>
      <c r="N29" s="75"/>
      <c r="P29" s="23"/>
      <c r="U29" s="75"/>
      <c r="V29" s="75"/>
    </row>
    <row r="30" spans="2:22" ht="15" customHeight="1">
      <c r="D30" s="326"/>
      <c r="E30" s="326"/>
      <c r="F30" s="326"/>
      <c r="G30" s="324"/>
      <c r="H30" s="324"/>
      <c r="I30" s="324"/>
      <c r="J30" s="75"/>
      <c r="K30" s="75"/>
      <c r="L30" s="75"/>
      <c r="M30" s="75"/>
      <c r="N30" s="75"/>
      <c r="P30" s="23"/>
      <c r="U30" s="75"/>
      <c r="V30" s="75"/>
    </row>
    <row r="31" spans="2:22">
      <c r="D31" s="324"/>
      <c r="E31" s="324"/>
      <c r="F31" s="324"/>
      <c r="G31" s="324"/>
      <c r="H31" s="324"/>
      <c r="I31" s="324"/>
      <c r="J31" s="75"/>
      <c r="K31" s="75"/>
      <c r="L31" s="75"/>
      <c r="M31" s="75"/>
      <c r="N31" s="75"/>
      <c r="P31" s="23"/>
      <c r="U31" s="75"/>
      <c r="V31" s="75"/>
    </row>
    <row r="32" spans="2:22" s="75" customFormat="1" hidden="1">
      <c r="B32" s="1" t="s">
        <v>44</v>
      </c>
      <c r="C32" s="23" t="e">
        <f>ROUND(((H20-H16-H14-H15)*C13)/H9-1,4)</f>
        <v>#N/A</v>
      </c>
      <c r="D32" s="23"/>
      <c r="E32" s="23"/>
      <c r="F32" s="323"/>
      <c r="G32" s="320"/>
      <c r="H32" s="320"/>
      <c r="I32" s="320"/>
      <c r="J32" s="14"/>
      <c r="K32" s="1"/>
      <c r="L32" s="1"/>
      <c r="M32" s="1"/>
      <c r="N32" s="1"/>
      <c r="P32" s="23"/>
      <c r="Q32" s="1"/>
      <c r="R32" s="1"/>
      <c r="S32" s="1"/>
      <c r="T32" s="1"/>
      <c r="U32" s="1"/>
      <c r="V32" s="1"/>
    </row>
    <row r="33" spans="2:22" s="75" customFormat="1" hidden="1">
      <c r="B33" s="1" t="s">
        <v>45</v>
      </c>
      <c r="C33" s="30" t="e">
        <f>ROUND(+H20-(H9/C13),4)</f>
        <v>#N/A</v>
      </c>
      <c r="D33" s="30"/>
      <c r="E33" s="30"/>
      <c r="F33" s="324"/>
      <c r="G33" s="6"/>
      <c r="H33" s="6"/>
      <c r="I33" s="6"/>
      <c r="J33" s="14"/>
      <c r="K33" s="1"/>
      <c r="L33" s="1"/>
      <c r="M33" s="1"/>
      <c r="N33" s="1"/>
      <c r="P33" s="23"/>
      <c r="Q33" s="1"/>
      <c r="R33" s="1"/>
      <c r="S33" s="1"/>
      <c r="T33" s="1"/>
      <c r="U33" s="1"/>
      <c r="V33" s="1"/>
    </row>
    <row r="34" spans="2:22" s="75" customFormat="1" hidden="1">
      <c r="B34" s="1" t="s">
        <v>46</v>
      </c>
      <c r="C34" s="20" t="e">
        <f>ROUND(C33/H17,3)</f>
        <v>#N/A</v>
      </c>
      <c r="D34" s="20"/>
      <c r="E34" s="20"/>
      <c r="F34" s="324"/>
      <c r="G34" s="6"/>
      <c r="H34" s="6"/>
      <c r="I34" s="6"/>
      <c r="J34" s="87"/>
      <c r="K34" s="1"/>
      <c r="L34" s="1"/>
      <c r="M34" s="1"/>
      <c r="N34" s="1"/>
      <c r="P34" s="23"/>
      <c r="Q34" s="1"/>
      <c r="R34" s="1"/>
      <c r="S34" s="1"/>
      <c r="T34" s="1"/>
      <c r="U34" s="1"/>
      <c r="V34" s="1"/>
    </row>
    <row r="35" spans="2:22" hidden="1">
      <c r="C35" s="20"/>
      <c r="D35" s="20"/>
      <c r="E35" s="20"/>
      <c r="F35" s="320"/>
      <c r="G35" s="319"/>
      <c r="H35" s="319"/>
      <c r="I35" s="319"/>
      <c r="P35" s="23"/>
    </row>
    <row r="36" spans="2:22" hidden="1">
      <c r="B36" s="1" t="s">
        <v>48</v>
      </c>
      <c r="C36" s="85" t="e">
        <f>C38-C37</f>
        <v>#N/A</v>
      </c>
      <c r="D36" s="85"/>
      <c r="E36" s="85"/>
      <c r="G36" s="329"/>
      <c r="H36" s="329"/>
      <c r="I36" s="329"/>
    </row>
    <row r="37" spans="2:22" hidden="1">
      <c r="B37" s="1" t="s">
        <v>21</v>
      </c>
      <c r="C37" s="85" t="e">
        <f>ROUND(C38*C23/(1+C23),2)</f>
        <v>#N/A</v>
      </c>
      <c r="D37" s="85"/>
      <c r="E37" s="85"/>
      <c r="G37" s="319"/>
      <c r="H37" s="319"/>
      <c r="I37" s="319"/>
      <c r="J37" s="23"/>
    </row>
    <row r="38" spans="2:22" ht="15.5" hidden="1">
      <c r="B38" s="1" t="s">
        <v>49</v>
      </c>
      <c r="C38" s="85" t="e">
        <f>IF(MOD(N19*1000,50)&gt;24.99,CEILING(N19,0.05),FLOOR(N19,0.05))</f>
        <v>#N/A</v>
      </c>
      <c r="D38" s="85"/>
      <c r="E38" s="85"/>
      <c r="F38" s="319"/>
      <c r="G38" s="330"/>
      <c r="H38" s="330"/>
      <c r="I38" s="330"/>
      <c r="J38" s="23"/>
    </row>
    <row r="39" spans="2:22" hidden="1">
      <c r="F39" s="329"/>
      <c r="G39" s="23"/>
      <c r="H39" s="23"/>
      <c r="I39" s="23"/>
      <c r="J39" s="23"/>
      <c r="K39" s="23"/>
      <c r="L39" s="23"/>
      <c r="M39" s="23"/>
      <c r="N39" s="23"/>
      <c r="P39" s="23"/>
    </row>
    <row r="40" spans="2:22" hidden="1">
      <c r="B40" s="9" t="s">
        <v>47</v>
      </c>
      <c r="C40" s="88" t="e">
        <f>ROUND(((C36-H16-H14-H15)*C13)/H9-1,4)</f>
        <v>#N/A</v>
      </c>
      <c r="D40" s="88"/>
      <c r="E40" s="88"/>
      <c r="F40" s="319"/>
      <c r="G40" s="30"/>
      <c r="H40" s="30"/>
      <c r="I40" s="30"/>
      <c r="J40" s="23"/>
      <c r="K40" s="23"/>
      <c r="L40" s="23"/>
      <c r="M40" s="23"/>
      <c r="N40" s="23"/>
      <c r="P40" s="23"/>
    </row>
    <row r="41" spans="2:22" ht="15.5">
      <c r="D41" s="330"/>
      <c r="E41" s="330"/>
      <c r="F41" s="330"/>
      <c r="G41" s="20"/>
      <c r="H41" s="20"/>
      <c r="I41" s="20"/>
      <c r="J41" s="23"/>
      <c r="K41" s="23"/>
      <c r="L41" s="23"/>
      <c r="M41" s="23"/>
      <c r="N41" s="23"/>
      <c r="P41" s="23"/>
    </row>
    <row r="42" spans="2:22">
      <c r="C42" s="1"/>
      <c r="D42" s="1"/>
      <c r="E42" s="1"/>
      <c r="F42" s="23"/>
      <c r="G42" s="20"/>
      <c r="H42" s="20"/>
      <c r="I42" s="20"/>
      <c r="J42" s="23"/>
      <c r="K42" s="23"/>
      <c r="L42" s="23"/>
      <c r="M42" s="23"/>
      <c r="N42" s="23"/>
      <c r="O42" s="23"/>
      <c r="P42" s="23"/>
    </row>
    <row r="43" spans="2:22">
      <c r="C43" s="1"/>
      <c r="D43" s="1"/>
      <c r="E43" s="1"/>
      <c r="F43" s="30"/>
      <c r="G43" s="85"/>
      <c r="H43" s="85"/>
      <c r="I43" s="85"/>
      <c r="J43" s="23"/>
      <c r="K43" s="23"/>
      <c r="L43" s="23"/>
      <c r="M43" s="23"/>
      <c r="N43" s="23"/>
      <c r="O43" s="23"/>
      <c r="P43" s="23"/>
    </row>
    <row r="44" spans="2:22">
      <c r="C44" s="1"/>
      <c r="D44" s="1"/>
      <c r="E44" s="1"/>
      <c r="F44" s="20"/>
      <c r="G44" s="85"/>
      <c r="H44" s="85"/>
      <c r="I44" s="85"/>
      <c r="J44" s="23"/>
      <c r="K44" s="23"/>
      <c r="L44" s="23"/>
      <c r="M44" s="23"/>
      <c r="N44" s="23"/>
      <c r="O44" s="23"/>
      <c r="P44" s="23"/>
    </row>
    <row r="45" spans="2:22">
      <c r="C45" s="1"/>
      <c r="D45" s="1"/>
      <c r="E45" s="1"/>
      <c r="F45" s="20"/>
      <c r="G45" s="85"/>
      <c r="H45" s="85"/>
      <c r="I45" s="85"/>
      <c r="J45" s="23"/>
      <c r="K45" s="23"/>
      <c r="L45" s="23"/>
      <c r="M45" s="23"/>
      <c r="N45" s="23"/>
      <c r="O45" s="23"/>
      <c r="P45" s="23"/>
    </row>
    <row r="46" spans="2:22">
      <c r="C46" s="1"/>
      <c r="D46" s="1"/>
      <c r="E46" s="1"/>
      <c r="F46" s="85"/>
      <c r="J46" s="23"/>
      <c r="K46" s="23"/>
      <c r="L46" s="23"/>
      <c r="M46" s="23"/>
      <c r="N46" s="23"/>
      <c r="O46" s="23"/>
      <c r="P46" s="23"/>
    </row>
    <row r="47" spans="2:22">
      <c r="C47" s="1"/>
      <c r="D47" s="1"/>
      <c r="E47" s="1"/>
      <c r="F47" s="85"/>
      <c r="G47" s="88"/>
      <c r="H47" s="88"/>
      <c r="I47" s="88"/>
      <c r="K47" s="23"/>
      <c r="L47" s="23"/>
      <c r="M47" s="23"/>
      <c r="N47" s="23"/>
      <c r="O47" s="23"/>
      <c r="P47" s="23"/>
    </row>
    <row r="48" spans="2:22">
      <c r="C48" s="1"/>
      <c r="D48" s="1"/>
      <c r="E48" s="1"/>
      <c r="F48" s="85"/>
      <c r="K48" s="23"/>
      <c r="L48" s="23"/>
      <c r="M48" s="23"/>
      <c r="N48" s="23"/>
      <c r="O48" s="23"/>
    </row>
    <row r="49" spans="3:15">
      <c r="C49" s="1"/>
      <c r="D49" s="1"/>
      <c r="E49" s="1"/>
      <c r="K49" s="23"/>
      <c r="L49" s="23"/>
      <c r="O49" s="23"/>
    </row>
    <row r="50" spans="3:15">
      <c r="C50" s="1"/>
      <c r="D50" s="1"/>
      <c r="E50" s="1"/>
      <c r="F50" s="88"/>
      <c r="O50" s="23"/>
    </row>
    <row r="51" spans="3:15">
      <c r="O51" s="23"/>
    </row>
  </sheetData>
  <sheetProtection formatColumns="0" pivotTables="0"/>
  <protectedRanges>
    <protectedRange sqref="C19 C7 B4 C10" name="Range1_1"/>
    <protectedRange password="CCE3" sqref="B24" name="Range3"/>
    <protectedRange sqref="C11:C15" name="Range1_1_2"/>
    <protectedRange password="CCE3" sqref="D19" name="Range3_3"/>
  </protectedRanges>
  <mergeCells count="3">
    <mergeCell ref="G25:K26"/>
    <mergeCell ref="D15:E15"/>
    <mergeCell ref="D19:E19"/>
  </mergeCells>
  <conditionalFormatting sqref="E16">
    <cfRule type="cellIs" dxfId="20" priority="4" operator="lessThan">
      <formula>0</formula>
    </cfRule>
    <cfRule type="cellIs" dxfId="19" priority="5" operator="greaterThan">
      <formula>0</formula>
    </cfRule>
    <cfRule type="cellIs" dxfId="18" priority="6" operator="greaterThan">
      <formula>0</formula>
    </cfRule>
  </conditionalFormatting>
  <conditionalFormatting sqref="E20">
    <cfRule type="cellIs" dxfId="17" priority="1" operator="lessThan">
      <formula>0</formula>
    </cfRule>
    <cfRule type="cellIs" dxfId="16" priority="2" operator="greaterThan">
      <formula>0</formula>
    </cfRule>
    <cfRule type="cellIs" dxfId="15" priority="3" operator="greaterThan">
      <formula>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E746B68-32B1-4D9B-8343-A33140217433}">
          <x14:formula1>
            <xm:f>Rates!$A$66:$A$71</xm:f>
          </x14:formula1>
          <xm:sqref>C4</xm:sqref>
        </x14:dataValidation>
        <x14:dataValidation type="list" showInputMessage="1" showErrorMessage="1" prompt="Pick from drop-down list_x000a_" xr:uid="{1F5D13BB-4B1D-48A9-BE40-F65CB67941B5}">
          <x14:formula1>
            <xm:f>Rates!$A$94:$A$95</xm:f>
          </x14:formula1>
          <xm:sqref>C5</xm:sqref>
        </x14:dataValidation>
        <x14:dataValidation type="list" showInputMessage="1" showErrorMessage="1" prompt="Pick from drop-down list_x000a_" xr:uid="{687A1BBF-BE01-4FCD-83A6-040CFF888350}">
          <x14:formula1>
            <xm:f>Rates!$B$142:$B$147</xm:f>
          </x14:formula1>
          <xm:sqref>C6</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5CFF9-5327-4636-BFB8-97BCA5F6485B}">
  <sheetPr codeName="Sheet12">
    <tabColor theme="9" tint="0.39997558519241921"/>
  </sheetPr>
  <dimension ref="B1:X91"/>
  <sheetViews>
    <sheetView zoomScale="85" zoomScaleNormal="85" workbookViewId="0">
      <selection activeCell="B1" sqref="B1"/>
    </sheetView>
  </sheetViews>
  <sheetFormatPr defaultColWidth="9.84375" defaultRowHeight="14.5"/>
  <cols>
    <col min="1" max="1" width="1.765625" style="1" customWidth="1"/>
    <col min="2" max="2" width="24.07421875" style="1" customWidth="1"/>
    <col min="3" max="3" width="20.69140625" style="1" customWidth="1"/>
    <col min="4" max="4" width="8.69140625" style="1" customWidth="1"/>
    <col min="5" max="5" width="11.07421875" style="1" customWidth="1"/>
    <col min="6" max="6" width="1.765625" style="1" customWidth="1"/>
    <col min="7" max="7" width="23" style="1" bestFit="1" customWidth="1"/>
    <col min="8" max="8" width="20.765625" style="1" customWidth="1"/>
    <col min="9" max="9" width="1.765625" style="1" customWidth="1"/>
    <col min="10" max="10" width="18.84375" style="1" bestFit="1" customWidth="1"/>
    <col min="11" max="11" width="20.765625" style="1" customWidth="1"/>
    <col min="12" max="12" width="1.765625" style="1" customWidth="1"/>
    <col min="13" max="13" width="18.84375" style="1" bestFit="1" customWidth="1"/>
    <col min="14" max="14" width="20.765625" style="1" customWidth="1"/>
    <col min="15" max="15" width="1.765625" style="1" customWidth="1"/>
    <col min="16" max="16" width="15" style="1" bestFit="1" customWidth="1"/>
    <col min="17" max="17" width="10.765625" style="1" customWidth="1"/>
    <col min="18" max="18" width="20.69140625" style="6" customWidth="1"/>
    <col min="19" max="19" width="7.84375" style="1" customWidth="1"/>
    <col min="20" max="20" width="14.4609375" style="1" customWidth="1"/>
    <col min="21" max="16384" width="9.84375" style="1"/>
  </cols>
  <sheetData>
    <row r="1" spans="2:24" ht="18.5">
      <c r="B1" s="170" t="s">
        <v>488</v>
      </c>
      <c r="C1" s="3"/>
      <c r="D1" s="3"/>
      <c r="E1" s="3"/>
      <c r="F1" s="3"/>
      <c r="G1" s="3"/>
      <c r="H1" s="3"/>
      <c r="I1" s="3"/>
      <c r="U1" s="6"/>
    </row>
    <row r="2" spans="2:24">
      <c r="B2" s="21"/>
      <c r="C2" s="6"/>
      <c r="D2" s="6"/>
      <c r="E2" s="6"/>
      <c r="F2" s="6"/>
      <c r="G2" s="6"/>
      <c r="H2" s="6"/>
      <c r="I2" s="6"/>
      <c r="K2" s="2"/>
      <c r="L2" s="4"/>
      <c r="T2" s="6"/>
    </row>
    <row r="3" spans="2:24" ht="15" thickBot="1">
      <c r="B3" s="59" t="s">
        <v>0</v>
      </c>
      <c r="C3" s="6"/>
      <c r="D3" s="6"/>
      <c r="E3" s="6"/>
      <c r="F3" s="6"/>
      <c r="I3" s="6"/>
      <c r="K3" s="2"/>
      <c r="L3" s="39"/>
      <c r="T3" s="6"/>
    </row>
    <row r="4" spans="2:24" ht="16" thickBot="1">
      <c r="B4" s="219" t="s">
        <v>61</v>
      </c>
      <c r="C4" s="400"/>
      <c r="D4" s="6"/>
      <c r="E4" s="6"/>
      <c r="F4" s="6"/>
      <c r="G4" s="65" t="s">
        <v>55</v>
      </c>
      <c r="H4" s="99"/>
      <c r="I4" s="6"/>
      <c r="J4" s="65" t="s">
        <v>91</v>
      </c>
      <c r="K4" s="99"/>
      <c r="L4" s="147"/>
      <c r="M4" s="65" t="s">
        <v>92</v>
      </c>
      <c r="N4" s="99"/>
      <c r="P4" s="285" t="s">
        <v>283</v>
      </c>
      <c r="Q4" s="25"/>
      <c r="R4" s="286"/>
      <c r="S4" s="25"/>
      <c r="T4" s="25"/>
      <c r="U4" s="25"/>
      <c r="V4" s="115"/>
    </row>
    <row r="5" spans="2:24" ht="15" thickBot="1">
      <c r="B5" s="33" t="s">
        <v>64</v>
      </c>
      <c r="C5" s="398"/>
      <c r="D5" s="6"/>
      <c r="E5" s="6"/>
      <c r="F5" s="6"/>
      <c r="G5" s="40" t="s">
        <v>28</v>
      </c>
      <c r="H5" s="41">
        <f>K5+N5</f>
        <v>0</v>
      </c>
      <c r="I5" s="6"/>
      <c r="J5" s="40" t="s">
        <v>93</v>
      </c>
      <c r="K5" s="41">
        <f>C8*C9</f>
        <v>0</v>
      </c>
      <c r="L5" s="62"/>
      <c r="M5" s="40" t="s">
        <v>94</v>
      </c>
      <c r="N5" s="66">
        <f>C7*C9</f>
        <v>0</v>
      </c>
      <c r="P5" s="293"/>
      <c r="Q5" s="294"/>
      <c r="R5" s="294"/>
      <c r="S5" s="294"/>
      <c r="T5" s="294"/>
      <c r="U5" s="294"/>
      <c r="V5" s="295"/>
    </row>
    <row r="6" spans="2:24" ht="15" thickBot="1">
      <c r="B6" s="33" t="s">
        <v>448</v>
      </c>
      <c r="C6" s="401"/>
      <c r="D6" s="6"/>
      <c r="E6" s="6"/>
      <c r="F6" s="6"/>
      <c r="G6" s="43" t="s">
        <v>30</v>
      </c>
      <c r="H6" s="423">
        <f>K6+N6</f>
        <v>0</v>
      </c>
      <c r="I6" s="6"/>
      <c r="J6" s="43" t="s">
        <v>30</v>
      </c>
      <c r="K6" s="66">
        <v>0</v>
      </c>
      <c r="L6" s="147"/>
      <c r="M6" s="43" t="s">
        <v>30</v>
      </c>
      <c r="N6" s="66">
        <f>ROUND(+C11*C12*C24,4)</f>
        <v>0</v>
      </c>
      <c r="P6" s="287"/>
      <c r="Q6" s="288"/>
      <c r="R6" s="288"/>
      <c r="S6" s="288"/>
      <c r="T6" s="288"/>
      <c r="U6" s="288"/>
      <c r="V6" s="289"/>
    </row>
    <row r="7" spans="2:24" ht="15" thickBot="1">
      <c r="B7" s="100" t="s">
        <v>89</v>
      </c>
      <c r="C7" s="395"/>
      <c r="D7" s="6"/>
      <c r="E7" s="6"/>
      <c r="F7" s="6"/>
      <c r="G7" s="43" t="s">
        <v>29</v>
      </c>
      <c r="H7" s="68">
        <f>K7+N7</f>
        <v>0</v>
      </c>
      <c r="I7" s="6"/>
      <c r="J7" s="43" t="s">
        <v>29</v>
      </c>
      <c r="K7" s="66">
        <v>0</v>
      </c>
      <c r="L7" s="147"/>
      <c r="M7" s="43" t="s">
        <v>29</v>
      </c>
      <c r="N7" s="66">
        <f>ROUND(+C11*C12*C25,4)</f>
        <v>0</v>
      </c>
      <c r="P7" s="287"/>
      <c r="Q7" s="288"/>
      <c r="R7" s="288"/>
      <c r="S7" s="288"/>
      <c r="T7" s="288"/>
      <c r="U7" s="288"/>
      <c r="V7" s="289"/>
      <c r="W7" s="6"/>
      <c r="X7" s="6"/>
    </row>
    <row r="8" spans="2:24" ht="15" thickBot="1">
      <c r="B8" s="100" t="s">
        <v>90</v>
      </c>
      <c r="C8" s="395"/>
      <c r="D8" s="6"/>
      <c r="E8" s="6"/>
      <c r="F8" s="6"/>
      <c r="G8" s="54" t="s">
        <v>71</v>
      </c>
      <c r="H8" s="421">
        <f>K8+N8</f>
        <v>0</v>
      </c>
      <c r="I8" s="6"/>
      <c r="J8" s="54" t="s">
        <v>71</v>
      </c>
      <c r="K8" s="169">
        <v>0</v>
      </c>
      <c r="L8" s="147"/>
      <c r="M8" s="54" t="s">
        <v>71</v>
      </c>
      <c r="N8" s="169">
        <f>C10</f>
        <v>0</v>
      </c>
      <c r="P8" s="287"/>
      <c r="Q8" s="288"/>
      <c r="R8" s="288"/>
      <c r="S8" s="288"/>
      <c r="T8" s="288"/>
      <c r="U8" s="288"/>
      <c r="V8" s="289"/>
      <c r="W8" s="6"/>
    </row>
    <row r="9" spans="2:24" ht="15" thickBot="1">
      <c r="B9" s="215" t="s">
        <v>14</v>
      </c>
      <c r="C9" s="402"/>
      <c r="D9" s="6"/>
      <c r="E9" s="6"/>
      <c r="F9" s="6"/>
      <c r="G9" s="43" t="s">
        <v>31</v>
      </c>
      <c r="H9" s="68">
        <f>SUM(H5:H8)</f>
        <v>0</v>
      </c>
      <c r="I9" s="6"/>
      <c r="J9" s="43" t="s">
        <v>31</v>
      </c>
      <c r="K9" s="66">
        <f>SUM(K5:K8)</f>
        <v>0</v>
      </c>
      <c r="L9" s="147"/>
      <c r="M9" s="43" t="s">
        <v>31</v>
      </c>
      <c r="N9" s="66">
        <f>SUM(N5:N8)</f>
        <v>0</v>
      </c>
      <c r="P9" s="287"/>
      <c r="Q9" s="288"/>
      <c r="R9" s="288"/>
      <c r="S9" s="288"/>
      <c r="T9" s="288"/>
      <c r="U9" s="288"/>
      <c r="V9" s="289"/>
      <c r="W9" s="6"/>
    </row>
    <row r="10" spans="2:24" ht="15" thickBot="1">
      <c r="B10" s="217" t="s">
        <v>16</v>
      </c>
      <c r="C10" s="401"/>
      <c r="D10" s="6"/>
      <c r="E10" s="6"/>
      <c r="F10" s="6"/>
      <c r="G10" s="43" t="s">
        <v>72</v>
      </c>
      <c r="H10" s="68">
        <f>K10+N10</f>
        <v>0</v>
      </c>
      <c r="I10" s="6"/>
      <c r="J10" s="43" t="s">
        <v>72</v>
      </c>
      <c r="K10" s="66">
        <v>0</v>
      </c>
      <c r="L10" s="147"/>
      <c r="M10" s="43" t="s">
        <v>72</v>
      </c>
      <c r="N10" s="66">
        <f>ROUND(+C17*C11*C12,4)</f>
        <v>0</v>
      </c>
      <c r="P10" s="287"/>
      <c r="Q10" s="288"/>
      <c r="R10" s="288"/>
      <c r="S10" s="288"/>
      <c r="T10" s="288"/>
      <c r="U10" s="288"/>
      <c r="V10" s="289"/>
    </row>
    <row r="11" spans="2:24" ht="15" thickBot="1">
      <c r="B11" s="216" t="s">
        <v>18</v>
      </c>
      <c r="C11" s="403"/>
      <c r="D11" s="6"/>
      <c r="E11" s="6"/>
      <c r="F11" s="6"/>
      <c r="G11" s="43" t="s">
        <v>73</v>
      </c>
      <c r="H11" s="68">
        <f>K11+N11</f>
        <v>0</v>
      </c>
      <c r="I11" s="6"/>
      <c r="J11" s="43" t="s">
        <v>73</v>
      </c>
      <c r="K11" s="66">
        <v>0</v>
      </c>
      <c r="M11" s="43" t="s">
        <v>73</v>
      </c>
      <c r="N11" s="66">
        <f>ROUND(+C18*C11*C12,4)</f>
        <v>0</v>
      </c>
      <c r="P11" s="287"/>
      <c r="Q11" s="288"/>
      <c r="R11" s="288"/>
      <c r="S11" s="288"/>
      <c r="T11" s="288"/>
      <c r="U11" s="288"/>
      <c r="V11" s="289"/>
    </row>
    <row r="12" spans="2:24" ht="15" thickBot="1">
      <c r="B12" s="215" t="s">
        <v>20</v>
      </c>
      <c r="C12" s="404"/>
      <c r="D12" s="6"/>
      <c r="E12" s="6"/>
      <c r="F12" s="6"/>
      <c r="G12" s="43" t="s">
        <v>57</v>
      </c>
      <c r="H12" s="422" t="e">
        <f>K12+N12</f>
        <v>#N/A</v>
      </c>
      <c r="I12" s="6"/>
      <c r="J12" s="43" t="s">
        <v>57</v>
      </c>
      <c r="K12" s="155">
        <v>0</v>
      </c>
      <c r="M12" s="43" t="s">
        <v>57</v>
      </c>
      <c r="N12" s="155" t="e">
        <f>ROUND((C11*C12)*C19,4)</f>
        <v>#N/A</v>
      </c>
      <c r="P12" s="287"/>
      <c r="Q12" s="288"/>
      <c r="R12" s="288"/>
      <c r="S12" s="288"/>
      <c r="T12" s="288"/>
      <c r="U12" s="288"/>
      <c r="V12" s="289"/>
    </row>
    <row r="13" spans="2:24" ht="15" thickBot="1">
      <c r="B13" s="215" t="s">
        <v>22</v>
      </c>
      <c r="C13" s="404"/>
      <c r="D13" s="6"/>
      <c r="E13" s="6"/>
      <c r="F13" s="6"/>
      <c r="G13" s="43" t="s">
        <v>34</v>
      </c>
      <c r="H13" s="68" t="e">
        <f>H9+H10+H11+H12</f>
        <v>#N/A</v>
      </c>
      <c r="I13" s="6"/>
      <c r="J13" s="43" t="s">
        <v>34</v>
      </c>
      <c r="K13" s="66">
        <f>K9+K10+K11+K12</f>
        <v>0</v>
      </c>
      <c r="M13" s="43" t="s">
        <v>34</v>
      </c>
      <c r="N13" s="66" t="e">
        <f>N9+N10+N11+N12</f>
        <v>#N/A</v>
      </c>
      <c r="P13" s="287"/>
      <c r="Q13" s="288"/>
      <c r="R13" s="288"/>
      <c r="S13" s="288"/>
      <c r="T13" s="288"/>
      <c r="U13" s="288"/>
      <c r="V13" s="289"/>
    </row>
    <row r="14" spans="2:24" ht="15" thickBot="1">
      <c r="B14" s="218" t="s">
        <v>24</v>
      </c>
      <c r="C14" s="436"/>
      <c r="D14" s="574" t="s">
        <v>289</v>
      </c>
      <c r="E14" s="575"/>
      <c r="F14" s="6"/>
      <c r="G14" s="27"/>
      <c r="H14" s="68"/>
      <c r="I14" s="6"/>
      <c r="J14" s="27"/>
      <c r="K14" s="66"/>
      <c r="M14" s="27"/>
      <c r="N14" s="66"/>
      <c r="P14" s="287"/>
      <c r="Q14" s="288"/>
      <c r="R14" s="288"/>
      <c r="S14" s="288"/>
      <c r="T14" s="288"/>
      <c r="U14" s="288"/>
      <c r="V14" s="289"/>
    </row>
    <row r="15" spans="2:24" ht="15" thickBot="1">
      <c r="B15" s="344" t="s">
        <v>26</v>
      </c>
      <c r="C15" s="374" t="e">
        <f>H25</f>
        <v>#DIV/0!</v>
      </c>
      <c r="D15" s="434" t="e">
        <f>H20+H24</f>
        <v>#N/A</v>
      </c>
      <c r="E15" s="315" t="e">
        <f>C15-D15</f>
        <v>#DIV/0!</v>
      </c>
      <c r="F15" s="6"/>
      <c r="G15" s="43" t="s">
        <v>35</v>
      </c>
      <c r="H15" s="68" t="e">
        <f>H13/C12</f>
        <v>#N/A</v>
      </c>
      <c r="I15" s="6"/>
      <c r="J15" s="43" t="s">
        <v>35</v>
      </c>
      <c r="K15" s="68" t="e">
        <f>K13/C12</f>
        <v>#DIV/0!</v>
      </c>
      <c r="M15" s="43" t="s">
        <v>35</v>
      </c>
      <c r="N15" s="68" t="e">
        <f>N13/C12</f>
        <v>#N/A</v>
      </c>
      <c r="P15" s="287"/>
      <c r="Q15" s="288"/>
      <c r="R15" s="288"/>
      <c r="S15" s="288"/>
      <c r="T15" s="288"/>
      <c r="U15" s="288"/>
      <c r="V15" s="289"/>
    </row>
    <row r="16" spans="2:24" ht="15" thickBot="1">
      <c r="B16" s="148"/>
      <c r="C16" s="149"/>
      <c r="D16" s="149"/>
      <c r="E16" s="149"/>
      <c r="F16" s="149"/>
      <c r="G16" s="43" t="s">
        <v>36</v>
      </c>
      <c r="H16" s="68">
        <f>K16+N16</f>
        <v>0</v>
      </c>
      <c r="I16" s="149"/>
      <c r="J16" s="43" t="s">
        <v>36</v>
      </c>
      <c r="K16" s="68">
        <v>0</v>
      </c>
      <c r="M16" s="43" t="s">
        <v>36</v>
      </c>
      <c r="N16" s="68">
        <f>ROUND(+C20*C11,4)</f>
        <v>0</v>
      </c>
      <c r="P16" s="287"/>
      <c r="Q16" s="288"/>
      <c r="R16" s="288"/>
      <c r="S16" s="288"/>
      <c r="T16" s="288"/>
      <c r="U16" s="288"/>
      <c r="V16" s="289"/>
    </row>
    <row r="17" spans="2:22">
      <c r="B17" s="52" t="s">
        <v>102</v>
      </c>
      <c r="C17" s="112">
        <f>IF(C5="Keg",Rates!C5,Rates!C3)</f>
        <v>0.74109999999999998</v>
      </c>
      <c r="D17" s="319"/>
      <c r="E17" s="319"/>
      <c r="F17" s="319"/>
      <c r="G17" s="43" t="s">
        <v>19</v>
      </c>
      <c r="H17" s="271">
        <f>K17+N17</f>
        <v>0</v>
      </c>
      <c r="I17" s="319"/>
      <c r="J17" s="43" t="s">
        <v>19</v>
      </c>
      <c r="K17" s="271">
        <v>0</v>
      </c>
      <c r="M17" s="43" t="s">
        <v>19</v>
      </c>
      <c r="N17" s="271">
        <f>ROUND(+C21*C13,4)</f>
        <v>0</v>
      </c>
      <c r="P17" s="287"/>
      <c r="Q17" s="288"/>
      <c r="R17" s="288"/>
      <c r="S17" s="288"/>
      <c r="T17" s="288"/>
      <c r="U17" s="288"/>
      <c r="V17" s="289"/>
    </row>
    <row r="18" spans="2:22">
      <c r="B18" s="43" t="s">
        <v>103</v>
      </c>
      <c r="C18" s="84">
        <f>Rates!C4</f>
        <v>0.2006</v>
      </c>
      <c r="D18" s="324"/>
      <c r="E18" s="324"/>
      <c r="F18" s="324"/>
      <c r="G18" s="43" t="s">
        <v>38</v>
      </c>
      <c r="H18" s="68" t="e">
        <f>K18+N18</f>
        <v>#DIV/0!</v>
      </c>
      <c r="I18" s="324"/>
      <c r="J18" s="43" t="s">
        <v>38</v>
      </c>
      <c r="K18" s="68" t="e">
        <f>ROUND(SUM(K15:K17),4)</f>
        <v>#DIV/0!</v>
      </c>
      <c r="M18" s="43" t="s">
        <v>38</v>
      </c>
      <c r="N18" s="68" t="e">
        <f>ROUND(SUM(N15:N17),4)</f>
        <v>#N/A</v>
      </c>
      <c r="P18" s="287"/>
      <c r="Q18" s="288"/>
      <c r="R18" s="288"/>
      <c r="S18" s="288"/>
      <c r="T18" s="288"/>
      <c r="U18" s="288"/>
      <c r="V18" s="289"/>
    </row>
    <row r="19" spans="2:22">
      <c r="B19" s="145" t="s">
        <v>104</v>
      </c>
      <c r="C19" s="158" t="e">
        <f>VLOOKUP(C4,Rates!A11:B12,2,FALSE)</f>
        <v>#N/A</v>
      </c>
      <c r="D19" s="337"/>
      <c r="E19" s="337"/>
      <c r="F19" s="337"/>
      <c r="G19" s="43" t="s">
        <v>21</v>
      </c>
      <c r="H19" s="271" t="e">
        <f>ROUND(C23*H18,4)</f>
        <v>#DIV/0!</v>
      </c>
      <c r="I19" s="337"/>
      <c r="J19" s="43" t="s">
        <v>21</v>
      </c>
      <c r="K19" s="271" t="e">
        <f>ROUND(C23*K18,4)</f>
        <v>#DIV/0!</v>
      </c>
      <c r="M19" s="43" t="s">
        <v>21</v>
      </c>
      <c r="N19" s="272" t="e">
        <f>ROUND(+N18*C23,4)</f>
        <v>#N/A</v>
      </c>
      <c r="P19" s="287"/>
      <c r="Q19" s="288"/>
      <c r="R19" s="288"/>
      <c r="S19" s="288"/>
      <c r="T19" s="288"/>
      <c r="U19" s="288"/>
      <c r="V19" s="289"/>
    </row>
    <row r="20" spans="2:22" ht="15" thickBot="1">
      <c r="B20" s="43" t="s">
        <v>105</v>
      </c>
      <c r="C20" s="113">
        <f>Rates!B7</f>
        <v>0.17599999999999999</v>
      </c>
      <c r="D20" s="337"/>
      <c r="E20" s="337"/>
      <c r="F20" s="337"/>
      <c r="G20" s="43" t="s">
        <v>39</v>
      </c>
      <c r="H20" s="68" t="e">
        <f>N20+K20</f>
        <v>#N/A</v>
      </c>
      <c r="I20" s="337"/>
      <c r="J20" s="43" t="s">
        <v>39</v>
      </c>
      <c r="K20" s="68" t="e">
        <f>K18+K19</f>
        <v>#DIV/0!</v>
      </c>
      <c r="M20" s="43" t="s">
        <v>39</v>
      </c>
      <c r="N20" s="68" t="e">
        <f>N18+N19</f>
        <v>#N/A</v>
      </c>
      <c r="P20" s="290"/>
      <c r="Q20" s="291"/>
      <c r="R20" s="291"/>
      <c r="S20" s="291"/>
      <c r="T20" s="291"/>
      <c r="U20" s="291"/>
      <c r="V20" s="292"/>
    </row>
    <row r="21" spans="2:22" ht="15" thickBot="1">
      <c r="B21" s="43" t="s">
        <v>106</v>
      </c>
      <c r="C21" s="84">
        <f>Rates!B77</f>
        <v>8.9300000000000004E-2</v>
      </c>
      <c r="D21" s="337"/>
      <c r="E21" s="337"/>
      <c r="F21" s="337"/>
      <c r="G21" s="331" t="s">
        <v>288</v>
      </c>
      <c r="H21" s="269" t="e">
        <f>H23-H22</f>
        <v>#DIV/0!</v>
      </c>
      <c r="I21" s="337"/>
      <c r="J21" s="48" t="s">
        <v>41</v>
      </c>
      <c r="K21" s="50" t="e">
        <f>CEILING(K20,0.05)</f>
        <v>#DIV/0!</v>
      </c>
      <c r="M21" s="48" t="s">
        <v>41</v>
      </c>
      <c r="N21" s="50" t="e">
        <f>CEILING(N20,0.05)</f>
        <v>#N/A</v>
      </c>
      <c r="Q21" s="6"/>
      <c r="R21" s="1"/>
    </row>
    <row r="22" spans="2:22" ht="15" thickBot="1">
      <c r="B22" s="43" t="s">
        <v>23</v>
      </c>
      <c r="C22" s="159" t="e">
        <f>VLOOKUP(C5,Rates!A82:B86,2,FALSE)</f>
        <v>#N/A</v>
      </c>
      <c r="D22" s="337"/>
      <c r="E22" s="337"/>
      <c r="F22" s="337"/>
      <c r="G22" s="331" t="s">
        <v>21</v>
      </c>
      <c r="H22" s="420" t="e">
        <f>ROUND(+H23*(C23*100/(100+C23*100)),2)</f>
        <v>#DIV/0!</v>
      </c>
      <c r="I22" s="337"/>
      <c r="J22" s="43"/>
      <c r="K22" s="153"/>
      <c r="M22" s="43"/>
      <c r="N22" s="153"/>
      <c r="P22" s="527" t="s">
        <v>496</v>
      </c>
      <c r="Q22" s="528"/>
      <c r="R22" s="1"/>
    </row>
    <row r="23" spans="2:22">
      <c r="B23" s="43" t="s">
        <v>21</v>
      </c>
      <c r="C23" s="114">
        <f>Rates!B79</f>
        <v>0.13</v>
      </c>
      <c r="D23" s="337"/>
      <c r="E23" s="337"/>
      <c r="F23" s="337"/>
      <c r="G23" s="331" t="s">
        <v>49</v>
      </c>
      <c r="H23" s="269" t="e">
        <f>K21+N21</f>
        <v>#DIV/0!</v>
      </c>
      <c r="I23" s="337"/>
      <c r="J23" s="43"/>
      <c r="K23" s="152"/>
      <c r="M23" s="43"/>
      <c r="N23" s="152"/>
      <c r="P23" s="530" t="s">
        <v>497</v>
      </c>
      <c r="Q23" s="534" t="e">
        <f>H18</f>
        <v>#DIV/0!</v>
      </c>
      <c r="R23" s="1"/>
    </row>
    <row r="24" spans="2:22" ht="15" thickBot="1">
      <c r="B24" s="145" t="s">
        <v>107</v>
      </c>
      <c r="C24" s="150">
        <f>Rates!B39/100</f>
        <v>0.36950000000000005</v>
      </c>
      <c r="D24" s="337"/>
      <c r="E24" s="337"/>
      <c r="F24" s="337"/>
      <c r="G24" s="43" t="s">
        <v>42</v>
      </c>
      <c r="H24" s="269" t="e">
        <f>C13*C22</f>
        <v>#N/A</v>
      </c>
      <c r="I24" s="337"/>
      <c r="J24" s="43"/>
      <c r="K24" s="152"/>
      <c r="M24" s="43"/>
      <c r="N24" s="152"/>
      <c r="P24" s="530"/>
      <c r="Q24" s="535"/>
      <c r="R24" s="1"/>
    </row>
    <row r="25" spans="2:22" ht="16" thickBot="1">
      <c r="B25" s="146" t="s">
        <v>108</v>
      </c>
      <c r="C25" s="151">
        <f>Rates!B32</f>
        <v>0</v>
      </c>
      <c r="D25" s="337"/>
      <c r="E25" s="337"/>
      <c r="F25" s="337"/>
      <c r="G25" s="57" t="s">
        <v>109</v>
      </c>
      <c r="H25" s="419" t="e">
        <f>SUM(H23:H24)</f>
        <v>#DIV/0!</v>
      </c>
      <c r="I25" s="340"/>
      <c r="J25" s="57"/>
      <c r="K25" s="58"/>
      <c r="M25" s="57"/>
      <c r="N25" s="58"/>
      <c r="P25" s="530" t="s">
        <v>498</v>
      </c>
      <c r="Q25" s="534" t="e">
        <f>SUM(Q23*10%)</f>
        <v>#DIV/0!</v>
      </c>
      <c r="R25" s="1"/>
    </row>
    <row r="26" spans="2:22">
      <c r="D26" s="337"/>
      <c r="E26" s="337"/>
      <c r="F26" s="337"/>
      <c r="G26" s="583" t="e">
        <f>IF(C8/C6&gt;40%,"VP Approval Required because packaging costs are greater than 40% of the total cost","")</f>
        <v>#DIV/0!</v>
      </c>
      <c r="H26" s="583"/>
      <c r="I26" s="583"/>
      <c r="J26" s="583"/>
      <c r="K26" s="583"/>
      <c r="P26" s="530" t="s">
        <v>500</v>
      </c>
      <c r="Q26" s="534" t="e">
        <f>SUM(Q23-Q25)</f>
        <v>#DIV/0!</v>
      </c>
      <c r="R26" s="1"/>
    </row>
    <row r="27" spans="2:22">
      <c r="D27" s="337"/>
      <c r="E27" s="337"/>
      <c r="F27" s="337"/>
      <c r="G27" s="583"/>
      <c r="H27" s="583"/>
      <c r="I27" s="583"/>
      <c r="J27" s="583"/>
      <c r="K27" s="583"/>
      <c r="P27" s="530" t="s">
        <v>21</v>
      </c>
      <c r="Q27" s="534" t="e">
        <f>SUM(Q26*C23)</f>
        <v>#DIV/0!</v>
      </c>
      <c r="R27" s="1"/>
    </row>
    <row r="28" spans="2:22" ht="15" thickBot="1">
      <c r="D28" s="340"/>
      <c r="E28" s="340"/>
      <c r="F28" s="340"/>
      <c r="G28" s="340"/>
      <c r="H28" s="340"/>
      <c r="I28" s="340"/>
      <c r="P28" s="530" t="s">
        <v>499</v>
      </c>
      <c r="Q28" s="534" t="e">
        <f>C22</f>
        <v>#N/A</v>
      </c>
      <c r="R28" s="1"/>
    </row>
    <row r="29" spans="2:22" ht="15" thickBot="1">
      <c r="D29" s="340"/>
      <c r="E29" s="340"/>
      <c r="F29" s="340"/>
      <c r="G29" s="341"/>
      <c r="H29" s="341"/>
      <c r="I29" s="341"/>
      <c r="P29" s="527" t="s">
        <v>501</v>
      </c>
      <c r="Q29" s="536" t="e">
        <f>SUM(Q26+Q27+Q28)</f>
        <v>#DIV/0!</v>
      </c>
      <c r="R29" s="1"/>
    </row>
    <row r="30" spans="2:22">
      <c r="D30" s="341"/>
      <c r="E30" s="341"/>
      <c r="F30" s="341"/>
      <c r="P30" s="533" t="s">
        <v>502</v>
      </c>
      <c r="R30" s="1"/>
    </row>
    <row r="31" spans="2:22">
      <c r="D31" s="340"/>
      <c r="E31" s="340"/>
      <c r="F31" s="340"/>
      <c r="R31" s="1"/>
    </row>
    <row r="32" spans="2:22">
      <c r="D32" s="341"/>
      <c r="E32" s="341"/>
      <c r="F32" s="341"/>
      <c r="G32" s="417"/>
      <c r="H32" s="417"/>
      <c r="I32" s="417"/>
      <c r="R32" s="1"/>
    </row>
    <row r="33" spans="2:18">
      <c r="D33" s="340"/>
      <c r="G33" s="418"/>
      <c r="H33" s="418"/>
      <c r="I33" s="418"/>
      <c r="R33" s="1"/>
    </row>
    <row r="34" spans="2:18">
      <c r="D34" s="417"/>
      <c r="G34" s="417"/>
      <c r="H34" s="417"/>
      <c r="I34" s="417"/>
      <c r="R34" s="1"/>
    </row>
    <row r="35" spans="2:18">
      <c r="D35" s="417"/>
      <c r="E35" s="417"/>
      <c r="F35" s="417"/>
      <c r="G35" s="417"/>
      <c r="H35" s="417"/>
      <c r="I35" s="417"/>
    </row>
    <row r="36" spans="2:18">
      <c r="D36" s="418"/>
      <c r="E36" s="418"/>
      <c r="F36" s="418"/>
      <c r="G36" s="417"/>
      <c r="H36" s="417"/>
      <c r="I36" s="417"/>
    </row>
    <row r="37" spans="2:18">
      <c r="D37" s="417"/>
      <c r="E37" s="417"/>
      <c r="F37" s="417"/>
      <c r="G37" s="284"/>
      <c r="H37" s="284"/>
      <c r="I37" s="284"/>
    </row>
    <row r="38" spans="2:18" ht="15.5">
      <c r="D38" s="417"/>
      <c r="E38" s="417"/>
      <c r="F38" s="417"/>
      <c r="G38" s="330"/>
      <c r="H38" s="330"/>
      <c r="I38" s="330"/>
    </row>
    <row r="39" spans="2:18">
      <c r="D39" s="417"/>
      <c r="E39" s="417"/>
      <c r="F39" s="417"/>
    </row>
    <row r="40" spans="2:18">
      <c r="D40" s="284"/>
      <c r="E40" s="284"/>
      <c r="F40" s="284"/>
      <c r="G40" s="118"/>
      <c r="H40" s="118"/>
      <c r="I40" s="118"/>
    </row>
    <row r="41" spans="2:18" ht="15.5">
      <c r="D41" s="330"/>
      <c r="E41" s="330"/>
      <c r="F41" s="330"/>
    </row>
    <row r="43" spans="2:18">
      <c r="B43" s="5"/>
      <c r="C43" s="118"/>
      <c r="D43" s="118"/>
      <c r="E43" s="118"/>
      <c r="F43" s="118"/>
    </row>
    <row r="44" spans="2:18">
      <c r="R44" s="275"/>
    </row>
    <row r="45" spans="2:18">
      <c r="G45" s="119"/>
      <c r="H45" s="119"/>
      <c r="I45" s="119"/>
    </row>
    <row r="48" spans="2:18">
      <c r="C48" s="119"/>
      <c r="D48" s="119"/>
      <c r="E48" s="119"/>
      <c r="F48" s="119"/>
      <c r="G48" s="120"/>
      <c r="H48" s="120"/>
      <c r="I48" s="120"/>
    </row>
    <row r="49" spans="2:20">
      <c r="G49" s="121"/>
      <c r="H49" s="121"/>
      <c r="I49" s="121"/>
      <c r="R49" s="274"/>
    </row>
    <row r="50" spans="2:20">
      <c r="G50" s="120"/>
      <c r="H50" s="120"/>
      <c r="I50" s="120"/>
      <c r="K50" s="8"/>
      <c r="R50" s="274"/>
    </row>
    <row r="51" spans="2:20">
      <c r="C51" s="120"/>
      <c r="D51" s="120"/>
      <c r="E51" s="120"/>
      <c r="F51" s="120"/>
    </row>
    <row r="52" spans="2:20">
      <c r="B52" s="121"/>
      <c r="C52" s="121"/>
      <c r="D52" s="121"/>
      <c r="E52" s="121"/>
      <c r="F52" s="121"/>
      <c r="R52" s="276"/>
    </row>
    <row r="53" spans="2:20">
      <c r="B53" s="120"/>
      <c r="C53" s="120"/>
      <c r="D53" s="120"/>
      <c r="E53" s="120"/>
      <c r="F53" s="120"/>
      <c r="G53" s="8"/>
      <c r="H53" s="8"/>
      <c r="I53" s="8"/>
    </row>
    <row r="54" spans="2:20">
      <c r="G54" s="8"/>
      <c r="H54" s="8"/>
      <c r="I54" s="8"/>
      <c r="R54" s="274"/>
    </row>
    <row r="55" spans="2:20">
      <c r="G55" s="8"/>
      <c r="H55" s="8"/>
      <c r="I55" s="8"/>
    </row>
    <row r="56" spans="2:20">
      <c r="B56" s="8"/>
      <c r="C56" s="8"/>
      <c r="D56" s="8"/>
      <c r="E56" s="8"/>
      <c r="F56" s="8"/>
      <c r="G56" s="8"/>
      <c r="H56" s="8"/>
      <c r="I56" s="8"/>
      <c r="K56" s="8"/>
      <c r="R56" s="274"/>
    </row>
    <row r="57" spans="2:20">
      <c r="B57" s="8"/>
      <c r="C57" s="8"/>
      <c r="D57" s="8"/>
      <c r="E57" s="8"/>
      <c r="F57" s="8"/>
      <c r="G57" s="8"/>
      <c r="H57" s="8"/>
      <c r="I57" s="8"/>
      <c r="R57" s="274"/>
    </row>
    <row r="58" spans="2:20">
      <c r="B58" s="8"/>
      <c r="C58" s="8"/>
      <c r="D58" s="8"/>
      <c r="E58" s="8"/>
      <c r="F58" s="8"/>
      <c r="G58" s="8"/>
      <c r="H58" s="8"/>
      <c r="I58" s="8"/>
      <c r="K58" s="11"/>
      <c r="R58" s="276"/>
      <c r="T58" s="11"/>
    </row>
    <row r="59" spans="2:20">
      <c r="B59" s="8"/>
      <c r="C59" s="8"/>
      <c r="D59" s="8"/>
      <c r="E59" s="8"/>
      <c r="F59" s="8"/>
      <c r="G59" s="8"/>
      <c r="H59" s="8"/>
      <c r="I59" s="8"/>
      <c r="R59" s="274"/>
    </row>
    <row r="60" spans="2:20">
      <c r="B60" s="8"/>
      <c r="C60" s="8"/>
      <c r="D60" s="8"/>
      <c r="E60" s="8"/>
      <c r="F60" s="8"/>
      <c r="G60" s="8"/>
      <c r="H60" s="8"/>
      <c r="I60" s="8"/>
      <c r="R60" s="274"/>
      <c r="S60" s="122"/>
      <c r="T60" s="123"/>
    </row>
    <row r="61" spans="2:20">
      <c r="B61" s="8"/>
      <c r="C61" s="8"/>
      <c r="D61" s="8"/>
      <c r="E61" s="8"/>
      <c r="F61" s="8"/>
      <c r="G61" s="8"/>
      <c r="H61" s="8"/>
      <c r="I61" s="8"/>
    </row>
    <row r="62" spans="2:20">
      <c r="B62" s="8"/>
      <c r="C62" s="8"/>
      <c r="D62" s="8"/>
      <c r="E62" s="8"/>
      <c r="F62" s="8"/>
      <c r="G62" s="8"/>
      <c r="H62" s="8"/>
      <c r="I62" s="8"/>
      <c r="K62" s="8"/>
      <c r="R62" s="274"/>
      <c r="S62" s="124"/>
      <c r="T62" s="8"/>
    </row>
    <row r="63" spans="2:20">
      <c r="B63" s="8"/>
      <c r="C63" s="8"/>
      <c r="D63" s="8"/>
      <c r="E63" s="8"/>
      <c r="F63" s="8"/>
      <c r="G63" s="8"/>
      <c r="H63" s="8"/>
      <c r="I63" s="8"/>
      <c r="R63" s="274"/>
      <c r="T63" s="8"/>
    </row>
    <row r="64" spans="2:20">
      <c r="B64" s="8"/>
      <c r="C64" s="8"/>
      <c r="D64" s="8"/>
      <c r="E64" s="8"/>
      <c r="F64" s="8"/>
      <c r="G64" s="8"/>
      <c r="H64" s="8"/>
      <c r="I64" s="8"/>
      <c r="K64" s="11"/>
      <c r="R64" s="276"/>
      <c r="T64" s="11"/>
    </row>
    <row r="65" spans="2:18">
      <c r="B65" s="8"/>
      <c r="C65" s="8"/>
      <c r="D65" s="8"/>
      <c r="E65" s="8"/>
      <c r="F65" s="8"/>
      <c r="G65" s="8"/>
      <c r="H65" s="8"/>
      <c r="I65" s="8"/>
      <c r="R65" s="274"/>
    </row>
    <row r="66" spans="2:18">
      <c r="B66" s="8"/>
      <c r="C66" s="8"/>
      <c r="D66" s="8"/>
      <c r="E66" s="8"/>
      <c r="F66" s="8"/>
      <c r="G66" s="8"/>
      <c r="H66" s="8"/>
      <c r="I66" s="8"/>
      <c r="K66" s="11"/>
      <c r="R66" s="276"/>
    </row>
    <row r="67" spans="2:18">
      <c r="B67" s="8"/>
      <c r="C67" s="8"/>
      <c r="D67" s="8"/>
      <c r="E67" s="8"/>
      <c r="F67" s="8"/>
      <c r="G67" s="8"/>
      <c r="H67" s="8"/>
      <c r="I67" s="8"/>
      <c r="R67" s="274"/>
    </row>
    <row r="68" spans="2:18">
      <c r="B68" s="8"/>
      <c r="C68" s="8"/>
      <c r="D68" s="8"/>
      <c r="E68" s="8"/>
      <c r="F68" s="8"/>
      <c r="G68" s="8"/>
      <c r="H68" s="8"/>
      <c r="I68" s="8"/>
      <c r="R68" s="277"/>
    </row>
    <row r="69" spans="2:18">
      <c r="B69" s="8"/>
      <c r="C69" s="8"/>
      <c r="D69" s="8"/>
      <c r="E69" s="8"/>
      <c r="F69" s="8"/>
      <c r="R69" s="274"/>
    </row>
    <row r="70" spans="2:18">
      <c r="B70" s="8"/>
      <c r="C70" s="8"/>
      <c r="D70" s="8"/>
      <c r="E70" s="8"/>
      <c r="F70" s="8"/>
      <c r="K70" s="11"/>
      <c r="R70" s="276"/>
    </row>
    <row r="71" spans="2:18">
      <c r="B71" s="8"/>
      <c r="C71" s="8"/>
      <c r="D71" s="8"/>
      <c r="E71" s="8"/>
      <c r="F71" s="8"/>
      <c r="R71" s="274"/>
    </row>
    <row r="72" spans="2:18">
      <c r="R72" s="274"/>
    </row>
    <row r="73" spans="2:18">
      <c r="R73" s="274"/>
    </row>
    <row r="74" spans="2:18">
      <c r="R74" s="274"/>
    </row>
    <row r="76" spans="2:18">
      <c r="K76" s="11"/>
      <c r="R76" s="278"/>
    </row>
    <row r="78" spans="2:18">
      <c r="K78" s="9"/>
      <c r="R78" s="279"/>
    </row>
    <row r="82" spans="3:18">
      <c r="G82" s="9"/>
      <c r="H82" s="9"/>
      <c r="I82" s="9"/>
      <c r="K82" s="9"/>
      <c r="R82" s="279"/>
    </row>
    <row r="85" spans="3:18">
      <c r="C85" s="9"/>
      <c r="D85" s="9"/>
      <c r="E85" s="9"/>
      <c r="F85" s="9"/>
    </row>
    <row r="88" spans="3:18">
      <c r="G88" s="9"/>
      <c r="H88" s="9"/>
      <c r="I88" s="9"/>
      <c r="K88" s="9"/>
      <c r="R88" s="279"/>
    </row>
    <row r="91" spans="3:18">
      <c r="C91" s="9"/>
      <c r="D91" s="9"/>
      <c r="E91" s="9"/>
      <c r="F91" s="9"/>
    </row>
  </sheetData>
  <sheetProtection formatColumns="0" autoFilter="0" pivotTables="0"/>
  <protectedRanges>
    <protectedRange sqref="C22 C4 C24:C25 C19 C6 C15 C16:F16 I16" name="Range1"/>
    <protectedRange password="CCE3" sqref="B22" name="Range3"/>
    <protectedRange sqref="C9:C14" name="Range1_1"/>
  </protectedRanges>
  <mergeCells count="2">
    <mergeCell ref="G26:K27"/>
    <mergeCell ref="D14:E14"/>
  </mergeCells>
  <conditionalFormatting sqref="E15">
    <cfRule type="cellIs" dxfId="14" priority="1" operator="lessThan">
      <formula>0</formula>
    </cfRule>
    <cfRule type="cellIs" dxfId="13" priority="2" operator="greaterThan">
      <formula>0</formula>
    </cfRule>
    <cfRule type="cellIs" dxfId="12" priority="3" operator="greaterThan">
      <formula>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AC112CF-6EE7-4B13-86D0-A92AF2665BBB}">
          <x14:formula1>
            <xm:f>Rates!$A$82:$A$86</xm:f>
          </x14:formula1>
          <xm:sqref>C5</xm:sqref>
        </x14:dataValidation>
        <x14:dataValidation type="list" allowBlank="1" showInputMessage="1" showErrorMessage="1" xr:uid="{99772AD0-39F3-41D7-9599-34D835B6A525}">
          <x14:formula1>
            <xm:f>Rates!$B$94:$B$95</xm:f>
          </x14:formula1>
          <xm:sqref>C4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D4FE3-6C7F-4E0E-91F2-77FF3820C8FD}">
  <sheetPr codeName="Sheet13">
    <tabColor theme="9" tint="0.39997558519241921"/>
  </sheetPr>
  <dimension ref="B1:Z72"/>
  <sheetViews>
    <sheetView zoomScale="85" zoomScaleNormal="85" workbookViewId="0">
      <selection activeCell="N22" sqref="N22:O28"/>
    </sheetView>
  </sheetViews>
  <sheetFormatPr defaultColWidth="9.765625" defaultRowHeight="14.5"/>
  <cols>
    <col min="1" max="1" width="3.23046875" style="1" customWidth="1"/>
    <col min="2" max="2" width="25" style="1" customWidth="1"/>
    <col min="3" max="3" width="20.765625" style="6" customWidth="1"/>
    <col min="4" max="4" width="3.3046875" style="6" customWidth="1"/>
    <col min="5" max="5" width="23" style="6" bestFit="1" customWidth="1"/>
    <col min="6" max="6" width="20.765625" style="6" customWidth="1"/>
    <col min="7" max="7" width="3" style="6" customWidth="1"/>
    <col min="8" max="8" width="22.84375" style="1" bestFit="1" customWidth="1"/>
    <col min="9" max="9" width="20.765625" style="1" customWidth="1"/>
    <col min="10" max="10" width="2.84375" style="1" customWidth="1"/>
    <col min="11" max="11" width="18.84375" style="1" bestFit="1" customWidth="1"/>
    <col min="12" max="12" width="20.765625" style="36" customWidth="1"/>
    <col min="13" max="13" width="2.69140625" style="36" customWidth="1"/>
    <col min="14" max="14" width="18.07421875" style="36" customWidth="1"/>
    <col min="15" max="15" width="10.765625" style="132" customWidth="1"/>
    <col min="16" max="16" width="14.4609375" style="36" customWidth="1"/>
    <col min="17" max="26" width="9.765625" style="36"/>
    <col min="27" max="16384" width="9.765625" style="1"/>
  </cols>
  <sheetData>
    <row r="1" spans="2:26" ht="18.5">
      <c r="B1" s="170" t="s">
        <v>488</v>
      </c>
      <c r="C1" s="3"/>
      <c r="D1" s="3"/>
      <c r="E1" s="3"/>
      <c r="F1" s="3"/>
      <c r="G1" s="1"/>
      <c r="L1" s="1"/>
      <c r="M1" s="1"/>
      <c r="N1" s="1"/>
      <c r="O1" s="6"/>
      <c r="P1" s="1"/>
      <c r="Q1" s="1"/>
      <c r="R1" s="132"/>
    </row>
    <row r="2" spans="2:26">
      <c r="B2" s="21"/>
      <c r="C2" s="1"/>
      <c r="D2" s="1"/>
      <c r="E2" s="1"/>
      <c r="F2" s="1"/>
      <c r="G2" s="2"/>
      <c r="H2" s="2"/>
      <c r="L2" s="1"/>
      <c r="M2" s="1"/>
      <c r="N2" s="1"/>
      <c r="O2" s="6"/>
      <c r="P2" s="6"/>
      <c r="Q2" s="1"/>
    </row>
    <row r="3" spans="2:26" ht="15" thickBot="1">
      <c r="B3" s="59" t="s">
        <v>0</v>
      </c>
      <c r="C3" s="1"/>
      <c r="D3" s="1"/>
      <c r="E3" s="1"/>
      <c r="F3" s="1"/>
      <c r="G3" s="2"/>
      <c r="H3" s="2"/>
      <c r="L3" s="1"/>
      <c r="M3" s="1"/>
      <c r="N3" s="1"/>
      <c r="O3" s="6"/>
      <c r="P3" s="6"/>
      <c r="Q3" s="1"/>
    </row>
    <row r="4" spans="2:26" ht="16" thickBot="1">
      <c r="B4" s="222" t="s">
        <v>61</v>
      </c>
      <c r="C4" s="393"/>
      <c r="D4" s="1"/>
      <c r="E4" s="65" t="s">
        <v>55</v>
      </c>
      <c r="F4" s="99"/>
      <c r="H4" s="65" t="s">
        <v>91</v>
      </c>
      <c r="I4" s="99"/>
      <c r="J4" s="147"/>
      <c r="K4" s="65" t="s">
        <v>92</v>
      </c>
      <c r="L4" s="99"/>
      <c r="M4" s="26"/>
      <c r="N4" s="285" t="s">
        <v>283</v>
      </c>
      <c r="O4" s="25"/>
      <c r="P4" s="286"/>
      <c r="Q4" s="25"/>
      <c r="R4" s="25"/>
      <c r="S4" s="25"/>
      <c r="T4" s="115"/>
    </row>
    <row r="5" spans="2:26" ht="15" thickBot="1">
      <c r="B5" s="221" t="s">
        <v>80</v>
      </c>
      <c r="C5" s="407"/>
      <c r="D5" s="1"/>
      <c r="E5" s="40" t="s">
        <v>28</v>
      </c>
      <c r="F5" s="162">
        <f>I5+L5</f>
        <v>0</v>
      </c>
      <c r="H5" s="40" t="s">
        <v>93</v>
      </c>
      <c r="I5" s="162">
        <f>C9</f>
        <v>0</v>
      </c>
      <c r="J5" s="36"/>
      <c r="K5" s="40" t="s">
        <v>94</v>
      </c>
      <c r="L5" s="162">
        <f>C8</f>
        <v>0</v>
      </c>
      <c r="M5" s="1"/>
      <c r="N5" s="293"/>
      <c r="O5" s="294"/>
      <c r="P5" s="294"/>
      <c r="Q5" s="294"/>
      <c r="R5" s="294"/>
      <c r="S5" s="294"/>
      <c r="T5" s="295"/>
    </row>
    <row r="6" spans="2:26" ht="15" thickBot="1">
      <c r="B6" s="221" t="s">
        <v>64</v>
      </c>
      <c r="C6" s="407"/>
      <c r="D6" s="1"/>
      <c r="E6" s="43" t="s">
        <v>16</v>
      </c>
      <c r="F6" s="166">
        <f>I6+L6</f>
        <v>0</v>
      </c>
      <c r="H6" s="43" t="s">
        <v>16</v>
      </c>
      <c r="I6" s="166">
        <v>0</v>
      </c>
      <c r="J6" s="36"/>
      <c r="K6" s="43" t="s">
        <v>16</v>
      </c>
      <c r="L6" s="166">
        <f>C10</f>
        <v>0</v>
      </c>
      <c r="M6" s="1"/>
      <c r="N6" s="287"/>
      <c r="O6" s="288"/>
      <c r="P6" s="288"/>
      <c r="Q6" s="288"/>
      <c r="R6" s="288"/>
      <c r="S6" s="288"/>
      <c r="T6" s="289"/>
    </row>
    <row r="7" spans="2:26" ht="15" thickBot="1">
      <c r="B7" s="34" t="s">
        <v>12</v>
      </c>
      <c r="C7" s="409"/>
      <c r="D7" s="1"/>
      <c r="E7" s="43" t="s">
        <v>31</v>
      </c>
      <c r="F7" s="162">
        <f>I7+L7</f>
        <v>0</v>
      </c>
      <c r="H7" s="43" t="s">
        <v>31</v>
      </c>
      <c r="I7" s="162">
        <f>SUM(I5:I6)</f>
        <v>0</v>
      </c>
      <c r="J7" s="36"/>
      <c r="K7" s="43" t="s">
        <v>31</v>
      </c>
      <c r="L7" s="162">
        <f>SUM(L5:L6)</f>
        <v>0</v>
      </c>
      <c r="M7" s="1"/>
      <c r="N7" s="287"/>
      <c r="O7" s="288"/>
      <c r="P7" s="288"/>
      <c r="Q7" s="288"/>
      <c r="R7" s="288"/>
      <c r="S7" s="288"/>
      <c r="T7" s="289"/>
    </row>
    <row r="8" spans="2:26" ht="15" thickBot="1">
      <c r="B8" s="100" t="s">
        <v>89</v>
      </c>
      <c r="C8" s="409"/>
      <c r="D8" s="1"/>
      <c r="E8" s="161" t="s">
        <v>72</v>
      </c>
      <c r="F8" s="162">
        <f>I8+L8</f>
        <v>0</v>
      </c>
      <c r="H8" s="161" t="s">
        <v>72</v>
      </c>
      <c r="I8" s="162">
        <v>0</v>
      </c>
      <c r="J8" s="36"/>
      <c r="K8" s="161" t="s">
        <v>72</v>
      </c>
      <c r="L8" s="162">
        <f>C11*C12*Rates!C3</f>
        <v>0</v>
      </c>
      <c r="M8" s="1"/>
      <c r="N8" s="287"/>
      <c r="O8" s="288"/>
      <c r="P8" s="288"/>
      <c r="Q8" s="288"/>
      <c r="R8" s="288"/>
      <c r="S8" s="288"/>
      <c r="T8" s="289"/>
    </row>
    <row r="9" spans="2:26" ht="15" thickBot="1">
      <c r="B9" s="100" t="s">
        <v>90</v>
      </c>
      <c r="C9" s="409"/>
      <c r="D9" s="1"/>
      <c r="E9" s="161" t="s">
        <v>84</v>
      </c>
      <c r="F9" s="166">
        <f>I9+L9</f>
        <v>0</v>
      </c>
      <c r="H9" s="161" t="s">
        <v>84</v>
      </c>
      <c r="I9" s="166">
        <v>0</v>
      </c>
      <c r="J9" s="36"/>
      <c r="K9" s="161" t="s">
        <v>84</v>
      </c>
      <c r="L9" s="166">
        <f>IF(C4="Micro",Rates!B11*C11,Rates!B12*C11)*C12</f>
        <v>0</v>
      </c>
      <c r="M9" s="1"/>
      <c r="N9" s="287"/>
      <c r="O9" s="288"/>
      <c r="P9" s="288"/>
      <c r="Q9" s="288"/>
      <c r="R9" s="288"/>
      <c r="S9" s="288"/>
      <c r="T9" s="289"/>
    </row>
    <row r="10" spans="2:26" ht="15" thickBot="1">
      <c r="B10" s="217" t="s">
        <v>16</v>
      </c>
      <c r="C10" s="407"/>
      <c r="D10" s="1"/>
      <c r="E10" s="43" t="s">
        <v>34</v>
      </c>
      <c r="F10" s="162">
        <f>SUM(F7:F9)</f>
        <v>0</v>
      </c>
      <c r="H10" s="43" t="s">
        <v>34</v>
      </c>
      <c r="I10" s="162">
        <f>SUM(I7:I9)</f>
        <v>0</v>
      </c>
      <c r="J10" s="36"/>
      <c r="K10" s="43" t="s">
        <v>34</v>
      </c>
      <c r="L10" s="162">
        <f>SUM(L7:L9)</f>
        <v>0</v>
      </c>
      <c r="M10" s="1"/>
      <c r="N10" s="287"/>
      <c r="O10" s="288"/>
      <c r="P10" s="288"/>
      <c r="Q10" s="288"/>
      <c r="R10" s="288"/>
      <c r="S10" s="288"/>
      <c r="T10" s="289"/>
    </row>
    <row r="11" spans="2:26" ht="15" thickBot="1">
      <c r="B11" s="216" t="s">
        <v>18</v>
      </c>
      <c r="C11" s="397"/>
      <c r="D11" s="1"/>
      <c r="E11" s="161"/>
      <c r="F11" s="162"/>
      <c r="H11" s="161"/>
      <c r="I11" s="162"/>
      <c r="J11" s="36"/>
      <c r="K11" s="161"/>
      <c r="L11" s="162"/>
      <c r="M11" s="1"/>
      <c r="N11" s="287"/>
      <c r="O11" s="288"/>
      <c r="P11" s="288"/>
      <c r="Q11" s="288"/>
      <c r="R11" s="288"/>
      <c r="S11" s="288"/>
      <c r="T11" s="289"/>
    </row>
    <row r="12" spans="2:26" ht="15" thickBot="1">
      <c r="B12" s="215" t="s">
        <v>20</v>
      </c>
      <c r="C12" s="398"/>
      <c r="D12" s="1"/>
      <c r="E12" s="43" t="s">
        <v>35</v>
      </c>
      <c r="F12" s="45" t="e">
        <f>I12+L12</f>
        <v>#DIV/0!</v>
      </c>
      <c r="H12" s="43" t="s">
        <v>35</v>
      </c>
      <c r="I12" s="47" t="e">
        <f>ROUND(I10/C12,4)</f>
        <v>#DIV/0!</v>
      </c>
      <c r="J12" s="64"/>
      <c r="K12" s="43" t="s">
        <v>35</v>
      </c>
      <c r="L12" s="47" t="e">
        <f>ROUND(L10/C12,4)</f>
        <v>#DIV/0!</v>
      </c>
      <c r="M12" s="1"/>
      <c r="N12" s="287"/>
      <c r="O12" s="288"/>
      <c r="P12" s="288"/>
      <c r="Q12" s="288"/>
      <c r="R12" s="288"/>
      <c r="S12" s="288"/>
      <c r="T12" s="289"/>
    </row>
    <row r="13" spans="2:26" ht="15" thickBot="1">
      <c r="B13" s="215" t="s">
        <v>22</v>
      </c>
      <c r="C13" s="398"/>
      <c r="D13" s="1"/>
      <c r="E13" s="161" t="s">
        <v>36</v>
      </c>
      <c r="F13" s="162">
        <f>I13+L13</f>
        <v>0</v>
      </c>
      <c r="H13" s="161" t="s">
        <v>36</v>
      </c>
      <c r="I13" s="162">
        <v>0</v>
      </c>
      <c r="J13" s="36"/>
      <c r="K13" s="161" t="s">
        <v>36</v>
      </c>
      <c r="L13" s="162">
        <f>C11*Rates!B7</f>
        <v>0</v>
      </c>
      <c r="M13" s="1"/>
      <c r="N13" s="287"/>
      <c r="O13" s="288"/>
      <c r="P13" s="288"/>
      <c r="Q13" s="288"/>
      <c r="R13" s="288"/>
      <c r="S13" s="288"/>
      <c r="T13" s="289"/>
    </row>
    <row r="14" spans="2:26" ht="15.75" customHeight="1" thickBot="1">
      <c r="B14" s="218" t="s">
        <v>24</v>
      </c>
      <c r="C14" s="435"/>
      <c r="D14" s="1"/>
      <c r="E14" s="161" t="s">
        <v>19</v>
      </c>
      <c r="F14" s="162">
        <f>I14+L14</f>
        <v>0</v>
      </c>
      <c r="H14" s="161" t="s">
        <v>19</v>
      </c>
      <c r="I14" s="162">
        <v>0</v>
      </c>
      <c r="J14" s="36"/>
      <c r="K14" s="161" t="s">
        <v>19</v>
      </c>
      <c r="L14" s="162">
        <f>IF(C5="Yes",0,C13*Rates!B77)</f>
        <v>0</v>
      </c>
      <c r="M14" s="1"/>
      <c r="N14" s="287"/>
      <c r="O14" s="288"/>
      <c r="P14" s="288"/>
      <c r="Q14" s="288"/>
      <c r="R14" s="288"/>
      <c r="S14" s="288"/>
      <c r="T14" s="289"/>
    </row>
    <row r="15" spans="2:26" s="24" customFormat="1" ht="21.5" thickBot="1">
      <c r="B15" s="35" t="s">
        <v>26</v>
      </c>
      <c r="C15" s="168" t="e">
        <f>F26</f>
        <v>#N/A</v>
      </c>
      <c r="D15" s="1"/>
      <c r="E15" s="161" t="s">
        <v>85</v>
      </c>
      <c r="F15" s="166">
        <f>I15+L15</f>
        <v>0</v>
      </c>
      <c r="G15" s="137"/>
      <c r="H15" s="161" t="s">
        <v>85</v>
      </c>
      <c r="I15" s="166">
        <v>0</v>
      </c>
      <c r="J15" s="36"/>
      <c r="K15" s="161" t="s">
        <v>85</v>
      </c>
      <c r="L15" s="166">
        <v>0</v>
      </c>
      <c r="M15" s="1"/>
      <c r="N15" s="287"/>
      <c r="O15" s="288"/>
      <c r="P15" s="288"/>
      <c r="Q15" s="288"/>
      <c r="R15" s="288"/>
      <c r="S15" s="288"/>
      <c r="T15" s="289"/>
      <c r="U15" s="36"/>
      <c r="V15" s="36"/>
      <c r="W15" s="36"/>
      <c r="X15" s="36"/>
      <c r="Y15" s="36"/>
      <c r="Z15" s="36"/>
    </row>
    <row r="16" spans="2:26" s="24" customFormat="1" ht="19" thickBot="1">
      <c r="B16" s="164"/>
      <c r="C16" s="165"/>
      <c r="D16" s="165"/>
      <c r="E16" s="43" t="s">
        <v>38</v>
      </c>
      <c r="F16" s="162" t="e">
        <f>I16+L16</f>
        <v>#DIV/0!</v>
      </c>
      <c r="G16" s="137"/>
      <c r="H16" s="43" t="s">
        <v>38</v>
      </c>
      <c r="I16" s="162" t="e">
        <f>SUM(I12:I15)</f>
        <v>#DIV/0!</v>
      </c>
      <c r="J16" s="36"/>
      <c r="K16" s="43" t="s">
        <v>38</v>
      </c>
      <c r="L16" s="162" t="e">
        <f>SUM(L12:L15)</f>
        <v>#DIV/0!</v>
      </c>
      <c r="M16" s="1"/>
      <c r="N16" s="287"/>
      <c r="O16" s="288"/>
      <c r="P16" s="288"/>
      <c r="Q16" s="288"/>
      <c r="R16" s="288"/>
      <c r="S16" s="288"/>
      <c r="T16" s="289"/>
      <c r="U16" s="36"/>
      <c r="V16" s="36"/>
      <c r="W16" s="36"/>
      <c r="X16" s="36"/>
      <c r="Y16" s="36"/>
      <c r="Z16" s="36"/>
    </row>
    <row r="17" spans="2:20">
      <c r="B17" s="144" t="s">
        <v>63</v>
      </c>
      <c r="C17" s="112">
        <f>Rates!C3</f>
        <v>0.74109999999999998</v>
      </c>
      <c r="D17" s="319"/>
      <c r="E17" s="43" t="s">
        <v>21</v>
      </c>
      <c r="F17" s="162" t="e">
        <f>F16*C23</f>
        <v>#DIV/0!</v>
      </c>
      <c r="G17" s="137"/>
      <c r="H17" s="43" t="s">
        <v>21</v>
      </c>
      <c r="I17" s="162" t="e">
        <f>I16*C23</f>
        <v>#DIV/0!</v>
      </c>
      <c r="K17" s="43" t="s">
        <v>21</v>
      </c>
      <c r="L17" s="162" t="e">
        <f>L16*C23</f>
        <v>#DIV/0!</v>
      </c>
      <c r="N17" s="287"/>
      <c r="O17" s="288"/>
      <c r="P17" s="288"/>
      <c r="Q17" s="288"/>
      <c r="R17" s="288"/>
      <c r="S17" s="288"/>
      <c r="T17" s="289"/>
    </row>
    <row r="18" spans="2:20">
      <c r="B18" s="145" t="s">
        <v>66</v>
      </c>
      <c r="C18" s="84">
        <v>0</v>
      </c>
      <c r="D18" s="368"/>
      <c r="E18" s="43" t="s">
        <v>39</v>
      </c>
      <c r="F18" s="162" t="e">
        <f>F16+F17</f>
        <v>#DIV/0!</v>
      </c>
      <c r="G18" s="137"/>
      <c r="H18" s="43" t="s">
        <v>39</v>
      </c>
      <c r="I18" s="162" t="e">
        <f>I16+I17</f>
        <v>#DIV/0!</v>
      </c>
      <c r="K18" s="43" t="s">
        <v>39</v>
      </c>
      <c r="L18" s="162" t="e">
        <f>L16+L17</f>
        <v>#DIV/0!</v>
      </c>
      <c r="N18" s="287"/>
      <c r="O18" s="288"/>
      <c r="P18" s="288"/>
      <c r="Q18" s="288"/>
      <c r="R18" s="288"/>
      <c r="S18" s="288"/>
      <c r="T18" s="289"/>
    </row>
    <row r="19" spans="2:20">
      <c r="B19" s="145" t="s">
        <v>67</v>
      </c>
      <c r="C19" s="270" t="e">
        <f>VLOOKUP(C4,Rates!A11:B12,2,FALSE)</f>
        <v>#N/A</v>
      </c>
      <c r="D19" s="368"/>
      <c r="E19" s="43"/>
      <c r="F19" s="162"/>
      <c r="G19" s="137"/>
      <c r="H19" s="27"/>
      <c r="I19" s="28"/>
      <c r="K19" s="27"/>
      <c r="L19" s="266"/>
      <c r="N19" s="287"/>
      <c r="O19" s="288"/>
      <c r="P19" s="288"/>
      <c r="Q19" s="288"/>
      <c r="R19" s="288"/>
      <c r="S19" s="288"/>
      <c r="T19" s="289"/>
    </row>
    <row r="20" spans="2:20" ht="15" thickBot="1">
      <c r="B20" s="145" t="s">
        <v>68</v>
      </c>
      <c r="C20" s="113">
        <f>Rates!B7</f>
        <v>0.17599999999999999</v>
      </c>
      <c r="D20" s="368"/>
      <c r="E20" s="48" t="s">
        <v>285</v>
      </c>
      <c r="F20" s="159" t="e">
        <f>F22-F21</f>
        <v>#DIV/0!</v>
      </c>
      <c r="G20" s="137"/>
      <c r="H20" s="48" t="s">
        <v>74</v>
      </c>
      <c r="I20" s="49" t="e">
        <f>CEILING(I18,0.05)</f>
        <v>#DIV/0!</v>
      </c>
      <c r="K20" s="48" t="s">
        <v>74</v>
      </c>
      <c r="L20" s="49" t="e">
        <f>CEILING(L18,0.05)</f>
        <v>#DIV/0!</v>
      </c>
      <c r="N20" s="290"/>
      <c r="O20" s="291"/>
      <c r="P20" s="291"/>
      <c r="Q20" s="291"/>
      <c r="R20" s="291"/>
      <c r="S20" s="291"/>
      <c r="T20" s="292"/>
    </row>
    <row r="21" spans="2:20" ht="18.75" customHeight="1" thickBot="1">
      <c r="B21" s="145" t="s">
        <v>19</v>
      </c>
      <c r="C21" s="84">
        <f>Rates!B77</f>
        <v>8.9300000000000004E-2</v>
      </c>
      <c r="D21" s="368"/>
      <c r="E21" s="48" t="s">
        <v>21</v>
      </c>
      <c r="F21" s="163" t="e">
        <f>ROUND(F22*C23/(1+C23),2)</f>
        <v>#DIV/0!</v>
      </c>
      <c r="G21" s="137"/>
      <c r="H21" s="43"/>
      <c r="I21" s="163"/>
      <c r="K21" s="43"/>
      <c r="L21" s="163"/>
      <c r="N21" s="495"/>
      <c r="O21" s="499"/>
      <c r="P21" s="1"/>
      <c r="Q21" s="1"/>
    </row>
    <row r="22" spans="2:20" ht="15.75" customHeight="1" thickBot="1">
      <c r="B22" s="43" t="s">
        <v>23</v>
      </c>
      <c r="C22" s="159" t="e">
        <f>VLOOKUP(C6,Rates!A82:B86,2,FALSE)</f>
        <v>#N/A</v>
      </c>
      <c r="D22" s="368"/>
      <c r="E22" s="48" t="s">
        <v>86</v>
      </c>
      <c r="F22" s="159" t="e">
        <f>L20+I20</f>
        <v>#DIV/0!</v>
      </c>
      <c r="G22" s="137"/>
      <c r="H22" s="27"/>
      <c r="I22" s="47"/>
      <c r="K22" s="27"/>
      <c r="L22" s="47"/>
      <c r="N22" s="93" t="s">
        <v>40</v>
      </c>
      <c r="O22" s="94"/>
    </row>
    <row r="23" spans="2:20" ht="15.75" customHeight="1">
      <c r="B23" s="145" t="s">
        <v>21</v>
      </c>
      <c r="C23" s="114">
        <f>Rates!B79</f>
        <v>0.13</v>
      </c>
      <c r="D23" s="368"/>
      <c r="E23" s="43"/>
      <c r="F23" s="159"/>
      <c r="G23" s="137"/>
      <c r="H23" s="27"/>
      <c r="I23" s="47"/>
      <c r="K23" s="27"/>
      <c r="L23" s="47"/>
      <c r="N23" s="576" t="s">
        <v>315</v>
      </c>
      <c r="O23" s="577"/>
    </row>
    <row r="24" spans="2:20" ht="15.75" customHeight="1">
      <c r="B24" s="145" t="s">
        <v>69</v>
      </c>
      <c r="C24" s="150">
        <v>0</v>
      </c>
      <c r="D24" s="368"/>
      <c r="E24" s="43" t="s">
        <v>42</v>
      </c>
      <c r="F24" s="167" t="e">
        <f>C22*C13</f>
        <v>#N/A</v>
      </c>
      <c r="G24" s="137"/>
      <c r="H24" s="161"/>
      <c r="I24" s="162"/>
      <c r="J24" s="36"/>
      <c r="K24" s="161"/>
      <c r="L24" s="162"/>
      <c r="N24" s="578"/>
      <c r="O24" s="579"/>
    </row>
    <row r="25" spans="2:20" ht="15" thickBot="1">
      <c r="B25" s="146" t="s">
        <v>70</v>
      </c>
      <c r="C25" s="151">
        <f>Rates!B32</f>
        <v>0</v>
      </c>
      <c r="D25" s="324"/>
      <c r="E25" s="161"/>
      <c r="F25" s="162"/>
      <c r="G25" s="1"/>
      <c r="H25" s="264"/>
      <c r="I25" s="265"/>
      <c r="J25" s="36"/>
      <c r="K25" s="264"/>
      <c r="L25" s="265"/>
      <c r="M25" s="1"/>
      <c r="N25" s="578"/>
      <c r="O25" s="579"/>
    </row>
    <row r="26" spans="2:20" ht="16" thickBot="1">
      <c r="D26" s="368"/>
      <c r="E26" s="57" t="s">
        <v>109</v>
      </c>
      <c r="F26" s="58" t="e">
        <f>F24+F22</f>
        <v>#N/A</v>
      </c>
      <c r="G26" s="1"/>
      <c r="H26" s="57"/>
      <c r="I26" s="58"/>
      <c r="K26" s="57"/>
      <c r="L26" s="58"/>
      <c r="M26" s="1"/>
      <c r="N26" s="578"/>
      <c r="O26" s="579"/>
    </row>
    <row r="27" spans="2:20">
      <c r="D27" s="368"/>
      <c r="E27" s="583" t="e">
        <f>IF(C9/C7&gt;40%,"VP Approval Required because packaging costs are greater than 40% of the total cost","")</f>
        <v>#DIV/0!</v>
      </c>
      <c r="F27" s="583"/>
      <c r="G27" s="583"/>
      <c r="H27" s="583"/>
      <c r="I27" s="583"/>
      <c r="N27" s="578"/>
      <c r="O27" s="579"/>
    </row>
    <row r="28" spans="2:20" ht="15" thickBot="1">
      <c r="D28" s="368"/>
      <c r="E28" s="583"/>
      <c r="F28" s="583"/>
      <c r="G28" s="583"/>
      <c r="H28" s="583"/>
      <c r="I28" s="583"/>
      <c r="N28" s="580"/>
      <c r="O28" s="581"/>
    </row>
    <row r="29" spans="2:20">
      <c r="D29" s="368"/>
      <c r="E29" s="368"/>
      <c r="F29" s="368"/>
      <c r="G29" s="139"/>
      <c r="O29" s="36"/>
    </row>
    <row r="30" spans="2:20">
      <c r="F30" s="368"/>
      <c r="G30" s="138"/>
      <c r="O30" s="36"/>
    </row>
    <row r="31" spans="2:20">
      <c r="F31" s="368"/>
      <c r="G31" s="138"/>
      <c r="O31" s="36"/>
    </row>
    <row r="32" spans="2:20">
      <c r="D32" s="368"/>
      <c r="E32" s="368"/>
      <c r="F32" s="368"/>
      <c r="G32" s="138"/>
      <c r="O32" s="36"/>
    </row>
    <row r="33" spans="2:15">
      <c r="D33" s="349"/>
      <c r="E33" s="349"/>
      <c r="F33" s="349"/>
      <c r="G33" s="140"/>
      <c r="O33" s="36"/>
    </row>
    <row r="34" spans="2:15" s="36" customFormat="1">
      <c r="D34" s="371"/>
      <c r="E34" s="371"/>
      <c r="F34" s="371"/>
      <c r="G34" s="132"/>
    </row>
    <row r="35" spans="2:15" s="36" customFormat="1">
      <c r="D35" s="349"/>
      <c r="E35" s="349"/>
      <c r="F35" s="349"/>
      <c r="G35" s="132"/>
    </row>
    <row r="36" spans="2:15" s="36" customFormat="1">
      <c r="D36" s="349"/>
      <c r="E36" s="349"/>
      <c r="F36" s="349"/>
      <c r="G36" s="138"/>
    </row>
    <row r="37" spans="2:15">
      <c r="D37" s="430"/>
      <c r="E37" s="430"/>
      <c r="F37" s="430"/>
      <c r="G37" s="138"/>
    </row>
    <row r="38" spans="2:15">
      <c r="D38" s="368"/>
      <c r="E38" s="368"/>
      <c r="F38" s="368"/>
      <c r="G38" s="138"/>
    </row>
    <row r="39" spans="2:15" s="36" customFormat="1" ht="15.5">
      <c r="D39" s="330"/>
      <c r="E39" s="330"/>
      <c r="F39" s="330"/>
      <c r="G39" s="132"/>
    </row>
    <row r="40" spans="2:15" s="36" customFormat="1">
      <c r="G40" s="132"/>
      <c r="H40" s="1"/>
      <c r="I40" s="1"/>
      <c r="J40" s="1"/>
      <c r="K40" s="1"/>
      <c r="O40" s="132"/>
    </row>
    <row r="41" spans="2:15" s="36" customFormat="1">
      <c r="G41" s="141"/>
      <c r="H41" s="1"/>
      <c r="I41" s="1"/>
      <c r="J41" s="1"/>
      <c r="K41" s="1"/>
      <c r="O41" s="132"/>
    </row>
    <row r="42" spans="2:15">
      <c r="C42" s="1"/>
      <c r="D42" s="1"/>
      <c r="E42" s="1"/>
      <c r="F42" s="1"/>
      <c r="G42" s="132"/>
    </row>
    <row r="43" spans="2:15" s="36" customFormat="1">
      <c r="G43" s="132"/>
      <c r="H43" s="1"/>
      <c r="I43" s="1"/>
      <c r="J43" s="1"/>
      <c r="K43" s="1"/>
      <c r="O43" s="132"/>
    </row>
    <row r="44" spans="2:15" s="36" customFormat="1">
      <c r="B44" s="1"/>
      <c r="C44" s="6"/>
      <c r="D44" s="6"/>
      <c r="E44" s="6"/>
      <c r="F44" s="6"/>
      <c r="G44" s="141"/>
      <c r="H44" s="1"/>
      <c r="I44" s="1"/>
      <c r="J44" s="1"/>
      <c r="K44" s="1"/>
      <c r="O44" s="132"/>
    </row>
    <row r="45" spans="2:15" s="36" customFormat="1">
      <c r="B45" s="1"/>
      <c r="C45" s="6"/>
      <c r="D45" s="6"/>
      <c r="E45" s="6"/>
      <c r="F45" s="6"/>
      <c r="G45" s="132"/>
      <c r="H45" s="1"/>
      <c r="I45" s="1"/>
      <c r="J45" s="1"/>
      <c r="K45" s="1"/>
      <c r="O45" s="132"/>
    </row>
    <row r="46" spans="2:15" s="36" customFormat="1">
      <c r="B46" s="1"/>
      <c r="C46" s="6"/>
      <c r="D46" s="6"/>
      <c r="E46" s="6"/>
      <c r="F46" s="6"/>
      <c r="G46" s="142"/>
      <c r="H46" s="1"/>
      <c r="I46" s="1"/>
      <c r="J46" s="1"/>
      <c r="K46" s="1"/>
      <c r="O46" s="132"/>
    </row>
    <row r="47" spans="2:15" s="36" customFormat="1">
      <c r="B47" s="1"/>
      <c r="C47" s="6"/>
      <c r="D47" s="6"/>
      <c r="E47" s="6"/>
      <c r="F47" s="6"/>
      <c r="G47" s="127"/>
      <c r="H47" s="1"/>
      <c r="I47" s="1"/>
      <c r="J47" s="1"/>
      <c r="K47" s="1"/>
      <c r="O47" s="132"/>
    </row>
    <row r="48" spans="2:15" s="36" customFormat="1">
      <c r="B48" s="1"/>
      <c r="C48" s="6"/>
      <c r="D48" s="6"/>
      <c r="E48" s="6"/>
      <c r="F48" s="6"/>
      <c r="G48" s="128"/>
      <c r="H48" s="1"/>
      <c r="I48" s="1"/>
      <c r="J48" s="1"/>
      <c r="K48" s="1"/>
      <c r="O48" s="132"/>
    </row>
    <row r="49" spans="2:15" s="36" customFormat="1">
      <c r="B49" s="1"/>
      <c r="C49" s="6"/>
      <c r="D49" s="6"/>
      <c r="E49" s="6"/>
      <c r="F49" s="6"/>
      <c r="G49" s="6"/>
      <c r="H49" s="1"/>
      <c r="I49" s="1"/>
      <c r="J49" s="1"/>
      <c r="K49" s="1"/>
      <c r="O49" s="132"/>
    </row>
    <row r="50" spans="2:15" s="36" customFormat="1">
      <c r="B50" s="1"/>
      <c r="C50" s="6"/>
      <c r="D50" s="6"/>
      <c r="E50" s="6"/>
      <c r="F50" s="6"/>
      <c r="G50" s="6"/>
      <c r="H50" s="1"/>
      <c r="I50" s="1"/>
      <c r="J50" s="1"/>
      <c r="K50" s="1"/>
      <c r="O50" s="132"/>
    </row>
    <row r="51" spans="2:15" s="36" customFormat="1">
      <c r="B51" s="1"/>
      <c r="C51" s="6"/>
      <c r="D51" s="6"/>
      <c r="E51" s="6"/>
      <c r="F51" s="6"/>
      <c r="G51" s="6"/>
      <c r="H51" s="1"/>
      <c r="I51" s="1"/>
      <c r="J51" s="1"/>
      <c r="K51" s="1"/>
      <c r="O51" s="132"/>
    </row>
    <row r="52" spans="2:15" s="36" customFormat="1">
      <c r="B52" s="1"/>
      <c r="C52" s="6"/>
      <c r="D52" s="6"/>
      <c r="E52" s="6"/>
      <c r="F52" s="6"/>
      <c r="G52" s="6"/>
      <c r="H52" s="1"/>
      <c r="I52" s="1"/>
      <c r="J52" s="1"/>
      <c r="K52" s="1"/>
      <c r="O52" s="132"/>
    </row>
    <row r="53" spans="2:15" s="36" customFormat="1">
      <c r="B53" s="1"/>
      <c r="C53" s="6"/>
      <c r="D53" s="6"/>
      <c r="E53" s="6"/>
      <c r="F53" s="6"/>
      <c r="G53" s="6"/>
      <c r="H53" s="1"/>
      <c r="I53" s="1"/>
      <c r="J53" s="1"/>
      <c r="K53" s="1"/>
      <c r="O53" s="132"/>
    </row>
    <row r="54" spans="2:15" s="36" customFormat="1">
      <c r="B54" s="1"/>
      <c r="C54" s="6"/>
      <c r="D54" s="6"/>
      <c r="E54" s="6"/>
      <c r="F54" s="6"/>
      <c r="G54" s="6"/>
      <c r="H54" s="1"/>
      <c r="I54" s="1"/>
      <c r="J54" s="1"/>
      <c r="K54" s="1"/>
      <c r="N54" s="134"/>
      <c r="O54" s="132"/>
    </row>
    <row r="55" spans="2:15" s="36" customFormat="1">
      <c r="B55" s="1"/>
      <c r="C55" s="6"/>
      <c r="D55" s="6"/>
      <c r="E55" s="6"/>
      <c r="F55" s="6"/>
      <c r="G55" s="6"/>
      <c r="H55" s="1"/>
      <c r="I55" s="1"/>
      <c r="J55" s="1"/>
      <c r="K55" s="1"/>
      <c r="O55" s="132"/>
    </row>
    <row r="56" spans="2:15" s="36" customFormat="1">
      <c r="B56" s="1"/>
      <c r="C56" s="6"/>
      <c r="D56" s="6"/>
      <c r="E56" s="6"/>
      <c r="F56" s="6"/>
      <c r="G56" s="6"/>
      <c r="H56" s="1"/>
      <c r="I56" s="1"/>
      <c r="J56" s="1"/>
      <c r="K56" s="1"/>
      <c r="O56" s="132"/>
    </row>
    <row r="57" spans="2:15" s="36" customFormat="1">
      <c r="B57" s="1"/>
      <c r="C57" s="6"/>
      <c r="D57" s="6"/>
      <c r="E57" s="6"/>
      <c r="F57" s="6"/>
      <c r="G57" s="6"/>
      <c r="H57" s="1"/>
      <c r="I57" s="1"/>
      <c r="J57" s="1"/>
      <c r="K57" s="1"/>
      <c r="O57" s="132"/>
    </row>
    <row r="58" spans="2:15" s="36" customFormat="1">
      <c r="B58" s="1"/>
      <c r="C58" s="6"/>
      <c r="D58" s="6"/>
      <c r="E58" s="6"/>
      <c r="F58" s="6"/>
      <c r="G58" s="6"/>
      <c r="H58" s="1"/>
      <c r="I58" s="1"/>
      <c r="J58" s="1"/>
      <c r="K58" s="1"/>
      <c r="O58" s="132"/>
    </row>
    <row r="59" spans="2:15" s="36" customFormat="1">
      <c r="B59" s="1"/>
      <c r="C59" s="6"/>
      <c r="D59" s="6"/>
      <c r="E59" s="6"/>
      <c r="F59" s="6"/>
      <c r="G59" s="6"/>
      <c r="H59" s="1"/>
      <c r="I59" s="1"/>
      <c r="J59" s="1"/>
      <c r="K59" s="1"/>
      <c r="O59" s="132"/>
    </row>
    <row r="60" spans="2:15" s="36" customFormat="1">
      <c r="B60" s="1"/>
      <c r="C60" s="6"/>
      <c r="D60" s="6"/>
      <c r="E60" s="6"/>
      <c r="F60" s="6"/>
      <c r="G60" s="6"/>
      <c r="H60" s="1"/>
      <c r="I60" s="1"/>
      <c r="J60" s="1"/>
      <c r="K60" s="1"/>
      <c r="O60" s="132"/>
    </row>
    <row r="61" spans="2:15" s="36" customFormat="1">
      <c r="B61" s="1"/>
      <c r="C61" s="6"/>
      <c r="D61" s="6"/>
      <c r="E61" s="6"/>
      <c r="F61" s="6"/>
      <c r="G61" s="6"/>
      <c r="H61" s="1"/>
      <c r="I61" s="1"/>
      <c r="J61" s="1"/>
      <c r="K61" s="1"/>
      <c r="O61" s="132"/>
    </row>
    <row r="62" spans="2:15" s="36" customFormat="1">
      <c r="B62" s="1"/>
      <c r="C62" s="6"/>
      <c r="D62" s="6"/>
      <c r="E62" s="6"/>
      <c r="F62" s="6"/>
      <c r="G62" s="6"/>
      <c r="H62" s="1"/>
      <c r="I62" s="1"/>
      <c r="J62" s="1"/>
      <c r="K62" s="1"/>
      <c r="O62" s="132"/>
    </row>
    <row r="63" spans="2:15" s="36" customFormat="1">
      <c r="B63" s="1"/>
      <c r="C63" s="6"/>
      <c r="D63" s="6"/>
      <c r="E63" s="6"/>
      <c r="F63" s="6"/>
      <c r="G63" s="6"/>
      <c r="H63" s="1"/>
      <c r="I63" s="1"/>
      <c r="J63" s="1"/>
      <c r="K63" s="1"/>
      <c r="O63" s="132"/>
    </row>
    <row r="64" spans="2:15" s="36" customFormat="1">
      <c r="B64" s="1"/>
      <c r="C64" s="6"/>
      <c r="D64" s="6"/>
      <c r="E64" s="6"/>
      <c r="F64" s="6"/>
      <c r="G64" s="6"/>
      <c r="H64" s="1"/>
      <c r="I64" s="1"/>
      <c r="J64" s="1"/>
      <c r="K64" s="1"/>
      <c r="O64" s="132"/>
    </row>
    <row r="65" spans="2:15" s="36" customFormat="1">
      <c r="B65" s="1"/>
      <c r="C65" s="6"/>
      <c r="D65" s="6"/>
      <c r="E65" s="6"/>
      <c r="F65" s="6"/>
      <c r="G65" s="6"/>
      <c r="H65" s="1"/>
      <c r="I65" s="1"/>
      <c r="J65" s="1"/>
      <c r="K65" s="1"/>
      <c r="O65" s="132"/>
    </row>
    <row r="66" spans="2:15" s="36" customFormat="1">
      <c r="B66" s="1"/>
      <c r="C66" s="6"/>
      <c r="D66" s="6"/>
      <c r="E66" s="6"/>
      <c r="F66" s="6"/>
      <c r="G66" s="6"/>
      <c r="H66" s="1"/>
      <c r="I66" s="1"/>
      <c r="J66" s="1"/>
      <c r="K66" s="1"/>
      <c r="O66" s="132"/>
    </row>
    <row r="67" spans="2:15" s="36" customFormat="1" ht="15" thickBot="1">
      <c r="B67" s="1"/>
      <c r="C67" s="6"/>
      <c r="D67" s="6"/>
      <c r="E67" s="6"/>
      <c r="F67" s="6"/>
      <c r="G67" s="6"/>
      <c r="H67" s="1"/>
      <c r="I67" s="1"/>
      <c r="J67" s="1"/>
      <c r="K67" s="1"/>
      <c r="O67" s="132"/>
    </row>
    <row r="68" spans="2:15" s="36" customFormat="1" ht="15" thickBot="1">
      <c r="B68" s="129"/>
      <c r="C68" s="6"/>
      <c r="D68" s="6"/>
      <c r="E68" s="6"/>
      <c r="F68" s="6"/>
      <c r="G68" s="6"/>
      <c r="H68" s="1"/>
      <c r="I68" s="1"/>
      <c r="J68" s="1"/>
      <c r="K68" s="1"/>
      <c r="O68" s="132"/>
    </row>
    <row r="69" spans="2:15">
      <c r="B69" s="130"/>
    </row>
    <row r="70" spans="2:15">
      <c r="B70" s="130"/>
    </row>
    <row r="71" spans="2:15">
      <c r="B71" s="130"/>
    </row>
    <row r="72" spans="2:15" ht="15" thickBot="1">
      <c r="B72" s="131"/>
    </row>
  </sheetData>
  <sheetProtection formatColumns="0" autoFilter="0" pivotTables="0"/>
  <protectedRanges>
    <protectedRange sqref="C22 C24:C25 C19" name="Range1"/>
    <protectedRange password="CCE3" sqref="B22" name="Range3_1"/>
  </protectedRanges>
  <mergeCells count="2">
    <mergeCell ref="E27:I28"/>
    <mergeCell ref="N23:O28"/>
  </mergeCells>
  <pageMargins left="0.70866141732283472" right="0.70866141732283472" top="0.74803149606299213" bottom="0.74803149606299213" header="0.31496062992125984" footer="0.31496062992125984"/>
  <pageSetup orientation="landscape" r:id="rId1"/>
  <legacyDrawing r:id="rId2"/>
  <extLst>
    <ext xmlns:x14="http://schemas.microsoft.com/office/spreadsheetml/2009/9/main" uri="{CCE6A557-97BC-4b89-ADB6-D9C93CAAB3DF}">
      <x14:dataValidations xmlns:xm="http://schemas.microsoft.com/office/excel/2006/main" count="3">
        <x14:dataValidation type="list" showInputMessage="1" showErrorMessage="1" xr:uid="{36AA456A-FE0B-4D87-B7A9-2D75ACA41C5D}">
          <x14:formula1>
            <xm:f>Rates!$B$94:$B$95</xm:f>
          </x14:formula1>
          <xm:sqref>C4</xm:sqref>
        </x14:dataValidation>
        <x14:dataValidation type="list" showInputMessage="1" showErrorMessage="1" xr:uid="{22367D3E-6BF8-43EA-9880-8191F2B1645A}">
          <x14:formula1>
            <xm:f>Rates!$E$94:$E$95</xm:f>
          </x14:formula1>
          <xm:sqref>C5</xm:sqref>
        </x14:dataValidation>
        <x14:dataValidation type="list" allowBlank="1" showInputMessage="1" showErrorMessage="1" xr:uid="{BA30E564-7F0A-43AB-B3CC-7ED3653007C6}">
          <x14:formula1>
            <xm:f>Rates!$A$82:$A$86</xm:f>
          </x14:formula1>
          <xm:sqref>C6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662B-6B14-4AEE-84FE-872769C7AAA0}">
  <sheetPr codeName="Sheet16">
    <tabColor rgb="FFFFFF00"/>
  </sheetPr>
  <dimension ref="B1:V92"/>
  <sheetViews>
    <sheetView topLeftCell="B16" zoomScaleNormal="100" workbookViewId="0">
      <selection activeCell="B1" sqref="B1"/>
    </sheetView>
  </sheetViews>
  <sheetFormatPr defaultColWidth="9.84375" defaultRowHeight="14.5"/>
  <cols>
    <col min="1" max="1" width="2.765625" style="1" customWidth="1"/>
    <col min="2" max="2" width="24.07421875" style="1" customWidth="1"/>
    <col min="3" max="3" width="20.765625" style="1" customWidth="1"/>
    <col min="4" max="4" width="9.84375" style="1" customWidth="1"/>
    <col min="5" max="5" width="10.3046875" style="1" customWidth="1"/>
    <col min="6" max="6" width="1.765625" style="1" customWidth="1"/>
    <col min="7" max="7" width="23" style="1" bestFit="1" customWidth="1"/>
    <col min="8" max="8" width="20.765625" style="1" customWidth="1"/>
    <col min="9" max="9" width="2.765625" style="1" customWidth="1"/>
    <col min="10" max="10" width="17.69140625" style="1" bestFit="1" customWidth="1"/>
    <col min="11" max="11" width="12" style="1" customWidth="1"/>
    <col min="12" max="12" width="9.23046875" style="1" customWidth="1"/>
    <col min="13" max="13" width="7.53515625" style="1" bestFit="1" customWidth="1"/>
    <col min="14" max="14" width="10.84375" style="1" customWidth="1"/>
    <col min="15" max="15" width="12.3046875" style="1" customWidth="1"/>
    <col min="16" max="16" width="13.23046875" style="1" customWidth="1"/>
    <col min="17" max="17" width="14.23046875" style="1" customWidth="1"/>
    <col min="18" max="18" width="6.4609375" style="1" bestFit="1" customWidth="1"/>
    <col min="19" max="16384" width="9.84375" style="1"/>
  </cols>
  <sheetData>
    <row r="1" spans="2:22" ht="18.5">
      <c r="B1" s="170" t="s">
        <v>488</v>
      </c>
      <c r="C1" s="3"/>
      <c r="D1" s="3"/>
      <c r="E1" s="3"/>
      <c r="F1" s="3"/>
      <c r="S1" s="6"/>
    </row>
    <row r="2" spans="2:22" ht="18.5">
      <c r="B2" s="170"/>
      <c r="C2" s="3"/>
      <c r="D2" s="3"/>
      <c r="E2" s="3"/>
      <c r="F2" s="3"/>
      <c r="S2" s="6"/>
    </row>
    <row r="3" spans="2:22" ht="15" thickBot="1">
      <c r="B3" s="59" t="s">
        <v>0</v>
      </c>
      <c r="C3" s="6"/>
      <c r="D3" s="3"/>
      <c r="E3" s="3"/>
      <c r="F3" s="6"/>
      <c r="I3" s="2"/>
      <c r="J3" s="39"/>
    </row>
    <row r="4" spans="2:22" ht="16" thickBot="1">
      <c r="B4" s="219" t="s">
        <v>61</v>
      </c>
      <c r="C4" s="400"/>
      <c r="D4" s="3"/>
      <c r="E4" s="3"/>
      <c r="F4" s="6"/>
      <c r="G4" s="65" t="s">
        <v>55</v>
      </c>
      <c r="H4" s="99"/>
      <c r="J4" s="285" t="s">
        <v>283</v>
      </c>
      <c r="K4" s="25"/>
      <c r="L4" s="286"/>
      <c r="M4" s="25"/>
      <c r="N4" s="25"/>
      <c r="O4" s="25"/>
      <c r="P4" s="115"/>
    </row>
    <row r="5" spans="2:22" ht="15" thickBot="1">
      <c r="B5" s="215" t="s">
        <v>323</v>
      </c>
      <c r="C5" s="394"/>
      <c r="D5" s="3"/>
      <c r="E5" s="3"/>
      <c r="F5" s="6"/>
      <c r="G5" s="40" t="s">
        <v>28</v>
      </c>
      <c r="H5" s="66">
        <f>C8*C7</f>
        <v>0</v>
      </c>
      <c r="J5" s="293"/>
      <c r="K5" s="294"/>
      <c r="L5" s="294"/>
      <c r="M5" s="294"/>
      <c r="N5" s="294"/>
      <c r="O5" s="294"/>
      <c r="P5" s="295"/>
    </row>
    <row r="6" spans="2:22" ht="15" thickBot="1">
      <c r="B6" s="33" t="s">
        <v>64</v>
      </c>
      <c r="C6" s="398"/>
      <c r="D6" s="3"/>
      <c r="E6" s="3"/>
      <c r="F6" s="6"/>
      <c r="G6" s="43" t="s">
        <v>30</v>
      </c>
      <c r="H6" s="283">
        <f>ROUND(+C11*C12*C24,4)</f>
        <v>0</v>
      </c>
      <c r="J6" s="287"/>
      <c r="K6" s="288"/>
      <c r="L6" s="288"/>
      <c r="M6" s="288"/>
      <c r="N6" s="288"/>
      <c r="O6" s="288"/>
      <c r="P6" s="289"/>
    </row>
    <row r="7" spans="2:22" ht="15" thickBot="1">
      <c r="B7" s="33" t="s">
        <v>12</v>
      </c>
      <c r="C7" s="401"/>
      <c r="D7" s="3"/>
      <c r="E7" s="3"/>
      <c r="F7" s="6"/>
      <c r="G7" s="43" t="s">
        <v>29</v>
      </c>
      <c r="H7" s="66">
        <f>ROUND(+C11*C14*C25,4)</f>
        <v>0</v>
      </c>
      <c r="J7" s="287"/>
      <c r="K7" s="288"/>
      <c r="L7" s="288"/>
      <c r="M7" s="288"/>
      <c r="N7" s="288"/>
      <c r="O7" s="288"/>
      <c r="P7" s="289"/>
      <c r="U7" s="6"/>
      <c r="V7" s="6"/>
    </row>
    <row r="8" spans="2:22" ht="15" thickBot="1">
      <c r="B8" s="215" t="s">
        <v>14</v>
      </c>
      <c r="C8" s="402"/>
      <c r="D8" s="3"/>
      <c r="E8" s="3"/>
      <c r="F8" s="6"/>
      <c r="G8" s="54" t="s">
        <v>71</v>
      </c>
      <c r="H8" s="66">
        <f>C9</f>
        <v>0</v>
      </c>
      <c r="J8" s="287"/>
      <c r="K8" s="288"/>
      <c r="L8" s="288"/>
      <c r="M8" s="288"/>
      <c r="N8" s="288"/>
      <c r="O8" s="288"/>
      <c r="P8" s="289"/>
      <c r="U8" s="6"/>
    </row>
    <row r="9" spans="2:22" ht="15" thickBot="1">
      <c r="B9" s="217" t="s">
        <v>312</v>
      </c>
      <c r="C9" s="401"/>
      <c r="D9" s="3"/>
      <c r="E9" s="3"/>
      <c r="F9" s="6"/>
      <c r="G9" s="43" t="s">
        <v>31</v>
      </c>
      <c r="H9" s="154">
        <f>SUM(H5:H8)</f>
        <v>0</v>
      </c>
      <c r="J9" s="287"/>
      <c r="K9" s="288"/>
      <c r="L9" s="288"/>
      <c r="M9" s="288"/>
      <c r="N9" s="288"/>
      <c r="O9" s="288"/>
      <c r="P9" s="289"/>
      <c r="U9" s="6"/>
    </row>
    <row r="10" spans="2:22" ht="15" thickBot="1">
      <c r="B10" s="217" t="s">
        <v>313</v>
      </c>
      <c r="C10" s="401"/>
      <c r="D10" s="3"/>
      <c r="E10" s="3"/>
      <c r="F10" s="6"/>
      <c r="G10" s="43" t="s">
        <v>72</v>
      </c>
      <c r="H10" s="66">
        <v>0</v>
      </c>
      <c r="J10" s="287"/>
      <c r="K10" s="288"/>
      <c r="L10" s="288"/>
      <c r="M10" s="288"/>
      <c r="N10" s="288"/>
      <c r="O10" s="288"/>
      <c r="P10" s="289"/>
    </row>
    <row r="11" spans="2:22" ht="15" thickBot="1">
      <c r="B11" s="216" t="s">
        <v>18</v>
      </c>
      <c r="C11" s="403"/>
      <c r="D11" s="3"/>
      <c r="E11" s="3"/>
      <c r="F11" s="6"/>
      <c r="G11" s="43" t="s">
        <v>73</v>
      </c>
      <c r="H11" s="66">
        <f>ROUND(+C18*C11*C12,4)</f>
        <v>0</v>
      </c>
      <c r="J11" s="287"/>
      <c r="K11" s="288"/>
      <c r="L11" s="288"/>
      <c r="M11" s="288"/>
      <c r="N11" s="288"/>
      <c r="O11" s="288"/>
      <c r="P11" s="289"/>
    </row>
    <row r="12" spans="2:22" ht="15" thickBot="1">
      <c r="B12" s="215" t="s">
        <v>20</v>
      </c>
      <c r="C12" s="404"/>
      <c r="D12" s="3"/>
      <c r="E12" s="3"/>
      <c r="F12" s="6"/>
      <c r="G12" s="43" t="s">
        <v>57</v>
      </c>
      <c r="H12" s="155" t="e">
        <f>ROUND((C11*C12)*C19,4)</f>
        <v>#N/A</v>
      </c>
      <c r="J12" s="287"/>
      <c r="K12" s="288"/>
      <c r="L12" s="288"/>
      <c r="M12" s="288"/>
      <c r="N12" s="288"/>
      <c r="O12" s="288"/>
      <c r="P12" s="289"/>
    </row>
    <row r="13" spans="2:22" ht="15" thickBot="1">
      <c r="B13" s="215" t="s">
        <v>22</v>
      </c>
      <c r="C13" s="404"/>
      <c r="D13" s="3"/>
      <c r="E13" s="3"/>
      <c r="F13" s="6"/>
      <c r="G13" s="43" t="s">
        <v>34</v>
      </c>
      <c r="H13" s="66" t="e">
        <f>H9+H10+H11+H12</f>
        <v>#N/A</v>
      </c>
      <c r="I13" s="147"/>
      <c r="J13" s="287"/>
      <c r="K13" s="288"/>
      <c r="L13" s="288"/>
      <c r="M13" s="288"/>
      <c r="N13" s="288"/>
      <c r="O13" s="288"/>
      <c r="P13" s="289"/>
    </row>
    <row r="14" spans="2:22" ht="15" thickBot="1">
      <c r="B14" s="218" t="s">
        <v>24</v>
      </c>
      <c r="C14" s="405"/>
      <c r="D14" s="574" t="s">
        <v>289</v>
      </c>
      <c r="E14" s="575"/>
      <c r="F14" s="6"/>
      <c r="G14" s="27"/>
      <c r="H14" s="66"/>
      <c r="I14" s="147"/>
      <c r="J14" s="287"/>
      <c r="K14" s="288"/>
      <c r="L14" s="288"/>
      <c r="M14" s="288"/>
      <c r="N14" s="288"/>
      <c r="O14" s="288"/>
      <c r="P14" s="289"/>
    </row>
    <row r="15" spans="2:22" ht="15" thickBot="1">
      <c r="B15" s="344" t="s">
        <v>319</v>
      </c>
      <c r="C15" s="345" t="e">
        <f>H26</f>
        <v>#N/A</v>
      </c>
      <c r="D15" s="434" t="e">
        <f>H21+H25</f>
        <v>#N/A</v>
      </c>
      <c r="E15" s="315" t="e">
        <f>C15-D15</f>
        <v>#N/A</v>
      </c>
      <c r="F15" s="6"/>
      <c r="G15" s="43" t="s">
        <v>35</v>
      </c>
      <c r="H15" s="68" t="e">
        <f>H13/C12</f>
        <v>#N/A</v>
      </c>
      <c r="J15" s="287"/>
      <c r="K15" s="288"/>
      <c r="L15" s="288"/>
      <c r="M15" s="288"/>
      <c r="N15" s="288"/>
      <c r="O15" s="288"/>
      <c r="P15" s="289"/>
    </row>
    <row r="16" spans="2:22" ht="15" thickBot="1">
      <c r="B16" s="148"/>
      <c r="C16" s="174"/>
      <c r="D16" s="3"/>
      <c r="E16" s="3"/>
      <c r="F16" s="6"/>
      <c r="G16" s="43" t="s">
        <v>314</v>
      </c>
      <c r="H16" s="440">
        <f>C10</f>
        <v>0</v>
      </c>
      <c r="J16" s="287"/>
      <c r="K16" s="288"/>
      <c r="L16" s="288"/>
      <c r="M16" s="288"/>
      <c r="N16" s="288"/>
      <c r="O16" s="288"/>
      <c r="P16" s="289"/>
    </row>
    <row r="17" spans="2:18" ht="15" thickBot="1">
      <c r="B17" s="144" t="s">
        <v>63</v>
      </c>
      <c r="C17" s="352">
        <f>Rates!C3</f>
        <v>0.74109999999999998</v>
      </c>
      <c r="D17" s="346"/>
      <c r="E17" s="346"/>
      <c r="F17" s="6"/>
      <c r="G17" s="43" t="s">
        <v>36</v>
      </c>
      <c r="H17" s="68">
        <f>ROUND(+C20*C11,4)</f>
        <v>0</v>
      </c>
      <c r="J17" s="290"/>
      <c r="K17" s="291"/>
      <c r="L17" s="291"/>
      <c r="M17" s="291"/>
      <c r="N17" s="291"/>
      <c r="O17" s="291"/>
      <c r="P17" s="292"/>
      <c r="R17" s="10"/>
    </row>
    <row r="18" spans="2:18">
      <c r="B18" s="145" t="s">
        <v>66</v>
      </c>
      <c r="C18" s="363">
        <f>Rates!C5</f>
        <v>0.1245</v>
      </c>
      <c r="D18" s="346"/>
      <c r="E18" s="346"/>
      <c r="F18" s="319"/>
      <c r="G18" s="43" t="s">
        <v>19</v>
      </c>
      <c r="H18" s="271">
        <f>IF(C6="Refillable",0,ROUND(+C21*C13,4))</f>
        <v>0</v>
      </c>
      <c r="Q18" s="6"/>
      <c r="R18" s="10"/>
    </row>
    <row r="19" spans="2:18" ht="15" thickBot="1">
      <c r="B19" s="145" t="s">
        <v>67</v>
      </c>
      <c r="C19" s="365" t="e">
        <f>VLOOKUP(C4,Rates!A14:B15,2,FALSE)</f>
        <v>#N/A</v>
      </c>
      <c r="D19" s="347"/>
      <c r="E19" s="347"/>
      <c r="F19" s="337"/>
      <c r="G19" s="43" t="s">
        <v>38</v>
      </c>
      <c r="H19" s="68" t="e">
        <f>ROUND(SUM(H15:H18),4)</f>
        <v>#N/A</v>
      </c>
    </row>
    <row r="20" spans="2:18" ht="16" thickBot="1">
      <c r="B20" s="145" t="s">
        <v>68</v>
      </c>
      <c r="C20" s="363">
        <f>Rates!B7</f>
        <v>0.17599999999999999</v>
      </c>
      <c r="D20" s="348"/>
      <c r="E20" s="348"/>
      <c r="F20" s="338"/>
      <c r="G20" s="43" t="s">
        <v>21</v>
      </c>
      <c r="H20" s="271" t="e">
        <f>ROUND(+H19*C23,2)</f>
        <v>#N/A</v>
      </c>
      <c r="J20" s="93" t="s">
        <v>40</v>
      </c>
      <c r="K20" s="94"/>
      <c r="Q20" s="6"/>
    </row>
    <row r="21" spans="2:18" ht="15" customHeight="1">
      <c r="B21" s="145" t="s">
        <v>19</v>
      </c>
      <c r="C21" s="363">
        <f>Rates!B77</f>
        <v>8.9300000000000004E-2</v>
      </c>
      <c r="D21" s="346"/>
      <c r="E21" s="346"/>
      <c r="F21" s="337"/>
      <c r="G21" s="43" t="s">
        <v>39</v>
      </c>
      <c r="H21" s="68" t="e">
        <f>SUM(H20+H19)</f>
        <v>#N/A</v>
      </c>
      <c r="J21" s="576" t="s">
        <v>315</v>
      </c>
      <c r="K21" s="577"/>
      <c r="Q21" s="6"/>
    </row>
    <row r="22" spans="2:18">
      <c r="B22" s="43" t="s">
        <v>23</v>
      </c>
      <c r="C22" s="365">
        <f>IF(C11&lt;=20,20,50)</f>
        <v>20</v>
      </c>
      <c r="D22" s="349"/>
      <c r="E22" s="349"/>
      <c r="F22" s="337"/>
      <c r="G22" s="331" t="s">
        <v>288</v>
      </c>
      <c r="H22" s="160" t="e">
        <f>H24-H23</f>
        <v>#N/A</v>
      </c>
      <c r="J22" s="578"/>
      <c r="K22" s="579"/>
      <c r="Q22" s="6"/>
    </row>
    <row r="23" spans="2:18">
      <c r="B23" s="145" t="s">
        <v>21</v>
      </c>
      <c r="C23" s="367">
        <f>Rates!B79</f>
        <v>0.13</v>
      </c>
      <c r="D23" s="350"/>
      <c r="E23" s="350"/>
      <c r="F23" s="339"/>
      <c r="G23" s="331" t="s">
        <v>21</v>
      </c>
      <c r="H23" s="272" t="e">
        <f>ROUND(+H24*(C23*100/(100+C23*100)),2)</f>
        <v>#N/A</v>
      </c>
      <c r="J23" s="578"/>
      <c r="K23" s="579"/>
      <c r="Q23" s="6"/>
      <c r="R23" s="8"/>
    </row>
    <row r="24" spans="2:18">
      <c r="B24" s="145" t="s">
        <v>3</v>
      </c>
      <c r="C24" s="364">
        <f>IF(C14&lt;=7%,Rates!B27,Rates!B28)</f>
        <v>0.35099999999999998</v>
      </c>
      <c r="D24" s="347"/>
      <c r="E24" s="347"/>
      <c r="F24" s="337"/>
      <c r="G24" s="441" t="s">
        <v>318</v>
      </c>
      <c r="H24" s="160" t="e">
        <f>MAX(CEILING(H21,0.05))</f>
        <v>#N/A</v>
      </c>
      <c r="J24" s="578"/>
      <c r="K24" s="579"/>
    </row>
    <row r="25" spans="2:18" ht="15" thickBot="1">
      <c r="B25" s="146" t="s">
        <v>7</v>
      </c>
      <c r="C25" s="366">
        <f>IF(C5="Other",Rates!B33,0)</f>
        <v>0</v>
      </c>
      <c r="D25" s="351"/>
      <c r="E25" s="351"/>
      <c r="F25" s="337"/>
      <c r="G25" s="442" t="s">
        <v>317</v>
      </c>
      <c r="H25" s="160">
        <f>C22</f>
        <v>20</v>
      </c>
      <c r="J25" s="578"/>
      <c r="K25" s="579"/>
    </row>
    <row r="26" spans="2:18" ht="16" thickBot="1">
      <c r="F26" s="337"/>
      <c r="G26" s="57" t="s">
        <v>320</v>
      </c>
      <c r="H26" s="58" t="e">
        <f>SUM(H24:H25)</f>
        <v>#N/A</v>
      </c>
      <c r="J26" s="580"/>
      <c r="K26" s="581"/>
    </row>
    <row r="27" spans="2:18">
      <c r="F27" s="337"/>
    </row>
    <row r="28" spans="2:18">
      <c r="F28" s="337"/>
      <c r="G28" s="1" t="s">
        <v>4</v>
      </c>
    </row>
    <row r="29" spans="2:18">
      <c r="F29" s="340"/>
      <c r="G29" s="223" t="s">
        <v>8</v>
      </c>
    </row>
    <row r="30" spans="2:18">
      <c r="F30" s="340"/>
    </row>
    <row r="31" spans="2:18">
      <c r="F31" s="341"/>
    </row>
    <row r="32" spans="2:18">
      <c r="F32" s="340"/>
    </row>
    <row r="33" spans="2:17">
      <c r="F33" s="342"/>
    </row>
    <row r="34" spans="2:17">
      <c r="F34" s="343"/>
    </row>
    <row r="35" spans="2:17">
      <c r="F35" s="343"/>
    </row>
    <row r="36" spans="2:17">
      <c r="F36" s="343"/>
      <c r="Q36" s="117"/>
    </row>
    <row r="37" spans="2:17">
      <c r="F37" s="342"/>
    </row>
    <row r="38" spans="2:17">
      <c r="F38" s="343"/>
    </row>
    <row r="39" spans="2:17">
      <c r="F39" s="343"/>
    </row>
    <row r="40" spans="2:17">
      <c r="F40" s="343"/>
    </row>
    <row r="41" spans="2:17">
      <c r="F41" s="284"/>
      <c r="P41" s="4"/>
    </row>
    <row r="42" spans="2:17" ht="15.5">
      <c r="F42" s="330"/>
    </row>
    <row r="43" spans="2:17">
      <c r="B43" s="5"/>
      <c r="C43" s="118"/>
      <c r="D43" s="118"/>
      <c r="E43" s="118"/>
    </row>
    <row r="44" spans="2:17">
      <c r="F44" s="118"/>
    </row>
    <row r="46" spans="2:17">
      <c r="P46" s="8"/>
    </row>
    <row r="47" spans="2:17">
      <c r="P47" s="8"/>
    </row>
    <row r="48" spans="2:17">
      <c r="C48" s="119"/>
      <c r="D48" s="119"/>
      <c r="E48" s="119"/>
    </row>
    <row r="49" spans="2:18">
      <c r="F49" s="119"/>
      <c r="P49" s="11"/>
    </row>
    <row r="51" spans="2:18">
      <c r="C51" s="120"/>
      <c r="D51" s="120"/>
      <c r="E51" s="120"/>
      <c r="I51" s="8"/>
      <c r="P51" s="8"/>
    </row>
    <row r="52" spans="2:18">
      <c r="B52" s="121"/>
      <c r="C52" s="121"/>
      <c r="D52" s="121"/>
      <c r="E52" s="121"/>
      <c r="F52" s="120"/>
    </row>
    <row r="53" spans="2:18">
      <c r="B53" s="120"/>
      <c r="C53" s="120"/>
      <c r="D53" s="120"/>
      <c r="E53" s="120"/>
      <c r="F53" s="121"/>
      <c r="P53" s="8"/>
    </row>
    <row r="54" spans="2:18">
      <c r="F54" s="120"/>
      <c r="P54" s="8"/>
    </row>
    <row r="55" spans="2:18">
      <c r="P55" s="11"/>
    </row>
    <row r="56" spans="2:18">
      <c r="B56" s="8"/>
      <c r="C56" s="8"/>
      <c r="D56" s="8"/>
      <c r="E56" s="8"/>
      <c r="P56" s="8"/>
    </row>
    <row r="57" spans="2:18">
      <c r="B57" s="8"/>
      <c r="C57" s="8"/>
      <c r="D57" s="8"/>
      <c r="E57" s="8"/>
      <c r="F57" s="8"/>
      <c r="I57" s="8"/>
      <c r="P57" s="8"/>
    </row>
    <row r="58" spans="2:18">
      <c r="B58" s="8"/>
      <c r="C58" s="8"/>
      <c r="D58" s="8"/>
      <c r="E58" s="8"/>
      <c r="F58" s="8"/>
      <c r="R58" s="11"/>
    </row>
    <row r="59" spans="2:18">
      <c r="B59" s="8"/>
      <c r="C59" s="8"/>
      <c r="D59" s="8"/>
      <c r="E59" s="8"/>
      <c r="F59" s="8"/>
      <c r="I59" s="11"/>
      <c r="P59" s="8"/>
    </row>
    <row r="60" spans="2:18">
      <c r="B60" s="8"/>
      <c r="C60" s="8"/>
      <c r="D60" s="8"/>
      <c r="E60" s="8"/>
      <c r="F60" s="8"/>
      <c r="P60" s="8"/>
      <c r="Q60" s="122"/>
      <c r="R60" s="123"/>
    </row>
    <row r="61" spans="2:18">
      <c r="B61" s="8"/>
      <c r="C61" s="8"/>
      <c r="D61" s="8"/>
      <c r="E61" s="8"/>
      <c r="F61" s="8"/>
      <c r="P61" s="11"/>
    </row>
    <row r="62" spans="2:18">
      <c r="B62" s="8"/>
      <c r="C62" s="8"/>
      <c r="D62" s="8"/>
      <c r="E62" s="8"/>
      <c r="F62" s="8"/>
      <c r="P62" s="8"/>
      <c r="Q62" s="124"/>
      <c r="R62" s="8"/>
    </row>
    <row r="63" spans="2:18">
      <c r="B63" s="8"/>
      <c r="C63" s="8"/>
      <c r="D63" s="8"/>
      <c r="E63" s="8"/>
      <c r="F63" s="8"/>
      <c r="I63" s="8"/>
      <c r="P63" s="11"/>
      <c r="R63" s="8"/>
    </row>
    <row r="64" spans="2:18">
      <c r="B64" s="8"/>
      <c r="C64" s="8"/>
      <c r="D64" s="8"/>
      <c r="E64" s="8"/>
      <c r="F64" s="8"/>
      <c r="P64" s="8"/>
      <c r="R64" s="11"/>
    </row>
    <row r="65" spans="2:16">
      <c r="B65" s="8"/>
      <c r="C65" s="8"/>
      <c r="D65" s="8"/>
      <c r="E65" s="8"/>
      <c r="F65" s="8"/>
      <c r="I65" s="11"/>
      <c r="P65" s="123"/>
    </row>
    <row r="66" spans="2:16">
      <c r="B66" s="8"/>
      <c r="C66" s="8"/>
      <c r="D66" s="8"/>
      <c r="E66" s="8"/>
      <c r="F66" s="8"/>
      <c r="P66" s="8"/>
    </row>
    <row r="67" spans="2:16">
      <c r="B67" s="8"/>
      <c r="C67" s="8"/>
      <c r="D67" s="8"/>
      <c r="E67" s="8"/>
      <c r="F67" s="8"/>
      <c r="I67" s="11"/>
      <c r="P67" s="11"/>
    </row>
    <row r="68" spans="2:16">
      <c r="B68" s="8"/>
      <c r="C68" s="8"/>
      <c r="D68" s="8"/>
      <c r="E68" s="8"/>
      <c r="F68" s="8"/>
      <c r="P68" s="8"/>
    </row>
    <row r="69" spans="2:16">
      <c r="B69" s="8"/>
      <c r="C69" s="8"/>
      <c r="D69" s="8"/>
      <c r="E69" s="8"/>
      <c r="F69" s="8"/>
      <c r="P69" s="8"/>
    </row>
    <row r="70" spans="2:16">
      <c r="B70" s="8"/>
      <c r="C70" s="8"/>
      <c r="D70" s="8"/>
      <c r="E70" s="8"/>
      <c r="F70" s="8"/>
      <c r="P70" s="8"/>
    </row>
    <row r="71" spans="2:16">
      <c r="B71" s="8"/>
      <c r="C71" s="8"/>
      <c r="D71" s="8"/>
      <c r="E71" s="8"/>
      <c r="F71" s="8"/>
      <c r="I71" s="11"/>
      <c r="P71" s="8"/>
    </row>
    <row r="72" spans="2:16">
      <c r="F72" s="8"/>
    </row>
    <row r="73" spans="2:16">
      <c r="P73" s="125"/>
    </row>
    <row r="75" spans="2:16">
      <c r="P75" s="9"/>
    </row>
    <row r="77" spans="2:16">
      <c r="I77" s="11"/>
    </row>
    <row r="79" spans="2:16">
      <c r="I79" s="9"/>
      <c r="P79" s="9"/>
    </row>
    <row r="83" spans="3:16">
      <c r="I83" s="9"/>
    </row>
    <row r="85" spans="3:16">
      <c r="C85" s="9"/>
      <c r="D85" s="9"/>
      <c r="E85" s="9"/>
      <c r="P85" s="9"/>
    </row>
    <row r="86" spans="3:16">
      <c r="F86" s="9"/>
    </row>
    <row r="89" spans="3:16">
      <c r="I89" s="9"/>
    </row>
    <row r="91" spans="3:16">
      <c r="C91" s="9"/>
      <c r="D91" s="9"/>
      <c r="E91" s="9"/>
    </row>
    <row r="92" spans="3:16">
      <c r="F92" s="9"/>
    </row>
  </sheetData>
  <sheetProtection formatColumns="0" autoFilter="0" pivotTables="0"/>
  <protectedRanges>
    <protectedRange sqref="C24:E25 C4 C19:E19 C7:C15 C22:E22" name="Range1"/>
    <protectedRange password="CCE3" sqref="B22" name="Range3_1"/>
  </protectedRanges>
  <mergeCells count="2">
    <mergeCell ref="D14:E14"/>
    <mergeCell ref="J21:K26"/>
  </mergeCells>
  <conditionalFormatting sqref="E15">
    <cfRule type="cellIs" dxfId="11" priority="1" operator="lessThan">
      <formula>0</formula>
    </cfRule>
    <cfRule type="cellIs" dxfId="10" priority="2" operator="greaterThan">
      <formula>0</formula>
    </cfRule>
    <cfRule type="cellIs" dxfId="9" priority="3" operator="greaterThan">
      <formula>0</formula>
    </cfRule>
  </conditionalFormatting>
  <hyperlinks>
    <hyperlink ref="G29" r:id="rId1" display="https://www.doingbusinesswithlcbo.com/content/dbwl/en/basepage/home/new-supplier-agent/Pricing/HelpfulToolsandLinks.html" xr:uid="{66449450-8D8B-4DCE-A8EE-9FE287E9273C}"/>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73C9F395-8169-40F3-A274-82F6ED97E39F}">
          <x14:formula1>
            <xm:f>Rates!$B$94:$B$95</xm:f>
          </x14:formula1>
          <xm:sqref>C4</xm:sqref>
        </x14:dataValidation>
        <x14:dataValidation type="list" allowBlank="1" showInputMessage="1" showErrorMessage="1" xr:uid="{0FD3CB8B-23AF-47CD-9783-B10F40C51A48}">
          <x14:formula1>
            <xm:f>Rates!$F$94:$F$95</xm:f>
          </x14:formula1>
          <xm:sqref>C6</xm:sqref>
        </x14:dataValidation>
        <x14:dataValidation type="list" showInputMessage="1" showErrorMessage="1" prompt="Pick from drop-down list_x000a_" xr:uid="{ADDE7887-794E-4CB9-A94D-9613CDD23F46}">
          <x14:formula1>
            <xm:f>Rates!$G$94:$G$96</xm:f>
          </x14:formula1>
          <xm:sqref>C5</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8462D-2529-4591-A637-AC2EB0D5104C}">
  <sheetPr codeName="Sheet14">
    <tabColor rgb="FFFFFF00"/>
  </sheetPr>
  <dimension ref="B1:V91"/>
  <sheetViews>
    <sheetView zoomScaleNormal="100" workbookViewId="0">
      <selection activeCell="B1" sqref="B1"/>
    </sheetView>
  </sheetViews>
  <sheetFormatPr defaultColWidth="9.84375" defaultRowHeight="14.5"/>
  <cols>
    <col min="1" max="1" width="2.765625" style="1" customWidth="1"/>
    <col min="2" max="2" width="24.07421875" style="1" customWidth="1"/>
    <col min="3" max="3" width="20.765625" style="1" customWidth="1"/>
    <col min="4" max="4" width="9.84375" style="1" customWidth="1"/>
    <col min="5" max="5" width="10.3046875" style="1" customWidth="1"/>
    <col min="6" max="6" width="1.765625" style="1" customWidth="1"/>
    <col min="7" max="7" width="23" style="1" bestFit="1" customWidth="1"/>
    <col min="8" max="8" width="20.765625" style="1" customWidth="1"/>
    <col min="9" max="9" width="2.765625" style="1" customWidth="1"/>
    <col min="10" max="10" width="17.69140625" style="1" bestFit="1" customWidth="1"/>
    <col min="11" max="11" width="12" style="1" customWidth="1"/>
    <col min="12" max="12" width="9.23046875" style="1" customWidth="1"/>
    <col min="13" max="13" width="7.53515625" style="1" bestFit="1" customWidth="1"/>
    <col min="14" max="14" width="10.84375" style="1" customWidth="1"/>
    <col min="15" max="15" width="12.3046875" style="1" customWidth="1"/>
    <col min="16" max="16" width="13.23046875" style="1" customWidth="1"/>
    <col min="17" max="17" width="14.23046875" style="1" customWidth="1"/>
    <col min="18" max="18" width="6.4609375" style="1" bestFit="1" customWidth="1"/>
    <col min="19" max="16384" width="9.84375" style="1"/>
  </cols>
  <sheetData>
    <row r="1" spans="2:22" ht="18.5">
      <c r="B1" s="170" t="s">
        <v>488</v>
      </c>
      <c r="C1" s="3"/>
      <c r="D1" s="3"/>
      <c r="E1" s="3"/>
      <c r="F1" s="3"/>
      <c r="S1" s="6"/>
    </row>
    <row r="2" spans="2:22" ht="18.5">
      <c r="B2" s="170"/>
      <c r="C2" s="3"/>
      <c r="D2" s="3"/>
      <c r="E2" s="3"/>
      <c r="F2" s="3"/>
      <c r="S2" s="6"/>
    </row>
    <row r="3" spans="2:22" ht="15" thickBot="1">
      <c r="B3" s="59" t="s">
        <v>0</v>
      </c>
      <c r="C3" s="6"/>
      <c r="D3" s="3"/>
      <c r="E3" s="3"/>
      <c r="F3" s="6"/>
      <c r="I3" s="2"/>
      <c r="J3" s="39"/>
    </row>
    <row r="4" spans="2:22" ht="16" thickBot="1">
      <c r="B4" s="219" t="s">
        <v>61</v>
      </c>
      <c r="C4" s="400"/>
      <c r="D4" s="3"/>
      <c r="E4" s="3"/>
      <c r="F4" s="6"/>
      <c r="G4" s="65" t="s">
        <v>55</v>
      </c>
      <c r="H4" s="99"/>
      <c r="J4" s="285" t="s">
        <v>283</v>
      </c>
      <c r="K4" s="25"/>
      <c r="L4" s="286"/>
      <c r="M4" s="25"/>
      <c r="N4" s="25"/>
      <c r="O4" s="25"/>
      <c r="P4" s="115"/>
    </row>
    <row r="5" spans="2:22" ht="15" thickBot="1">
      <c r="B5" s="33" t="s">
        <v>64</v>
      </c>
      <c r="C5" s="398"/>
      <c r="D5" s="3"/>
      <c r="E5" s="3"/>
      <c r="F5" s="6"/>
      <c r="G5" s="40" t="s">
        <v>28</v>
      </c>
      <c r="H5" s="66">
        <f>C7*C6</f>
        <v>0</v>
      </c>
      <c r="J5" s="293"/>
      <c r="K5" s="294"/>
      <c r="L5" s="294"/>
      <c r="M5" s="294"/>
      <c r="N5" s="294"/>
      <c r="O5" s="294"/>
      <c r="P5" s="295"/>
    </row>
    <row r="6" spans="2:22" ht="15" thickBot="1">
      <c r="B6" s="33" t="s">
        <v>12</v>
      </c>
      <c r="C6" s="401"/>
      <c r="D6" s="3"/>
      <c r="E6" s="3"/>
      <c r="F6" s="6"/>
      <c r="G6" s="43" t="s">
        <v>30</v>
      </c>
      <c r="H6" s="283">
        <f>ROUND(+C10*C11*C23,4)</f>
        <v>0</v>
      </c>
      <c r="J6" s="287"/>
      <c r="K6" s="288"/>
      <c r="L6" s="288"/>
      <c r="M6" s="288"/>
      <c r="N6" s="288"/>
      <c r="O6" s="288"/>
      <c r="P6" s="289"/>
    </row>
    <row r="7" spans="2:22" ht="15" thickBot="1">
      <c r="B7" s="215" t="s">
        <v>14</v>
      </c>
      <c r="C7" s="402"/>
      <c r="D7" s="3"/>
      <c r="E7" s="3"/>
      <c r="F7" s="6"/>
      <c r="G7" s="43" t="s">
        <v>29</v>
      </c>
      <c r="H7" s="66">
        <f>ROUND(+C10*C11*C24,4)</f>
        <v>0</v>
      </c>
      <c r="J7" s="287"/>
      <c r="K7" s="288"/>
      <c r="L7" s="288"/>
      <c r="M7" s="288"/>
      <c r="N7" s="288"/>
      <c r="O7" s="288"/>
      <c r="P7" s="289"/>
      <c r="U7" s="6"/>
      <c r="V7" s="6"/>
    </row>
    <row r="8" spans="2:22" ht="15" thickBot="1">
      <c r="B8" s="217" t="s">
        <v>312</v>
      </c>
      <c r="C8" s="401"/>
      <c r="D8" s="3"/>
      <c r="E8" s="3"/>
      <c r="F8" s="6"/>
      <c r="G8" s="54" t="s">
        <v>71</v>
      </c>
      <c r="H8" s="66">
        <f>C8</f>
        <v>0</v>
      </c>
      <c r="J8" s="287"/>
      <c r="K8" s="288"/>
      <c r="L8" s="288"/>
      <c r="M8" s="288"/>
      <c r="N8" s="288"/>
      <c r="O8" s="288"/>
      <c r="P8" s="289"/>
      <c r="U8" s="6"/>
    </row>
    <row r="9" spans="2:22" ht="15" thickBot="1">
      <c r="B9" s="217" t="s">
        <v>313</v>
      </c>
      <c r="C9" s="401"/>
      <c r="D9" s="3"/>
      <c r="E9" s="3"/>
      <c r="F9" s="6"/>
      <c r="G9" s="43" t="s">
        <v>31</v>
      </c>
      <c r="H9" s="154">
        <f>SUM(H5:H8)</f>
        <v>0</v>
      </c>
      <c r="J9" s="287"/>
      <c r="K9" s="288"/>
      <c r="L9" s="288"/>
      <c r="M9" s="288"/>
      <c r="N9" s="288"/>
      <c r="O9" s="288"/>
      <c r="P9" s="289"/>
      <c r="U9" s="6"/>
    </row>
    <row r="10" spans="2:22" ht="15" thickBot="1">
      <c r="B10" s="216" t="s">
        <v>18</v>
      </c>
      <c r="C10" s="403"/>
      <c r="D10" s="3"/>
      <c r="E10" s="3"/>
      <c r="F10" s="6"/>
      <c r="G10" s="43" t="s">
        <v>72</v>
      </c>
      <c r="H10" s="66">
        <v>0</v>
      </c>
      <c r="J10" s="287"/>
      <c r="K10" s="288"/>
      <c r="L10" s="288"/>
      <c r="M10" s="288"/>
      <c r="N10" s="288"/>
      <c r="O10" s="288"/>
      <c r="P10" s="289"/>
    </row>
    <row r="11" spans="2:22" ht="15" thickBot="1">
      <c r="B11" s="215" t="s">
        <v>20</v>
      </c>
      <c r="C11" s="404"/>
      <c r="D11" s="3"/>
      <c r="E11" s="3"/>
      <c r="F11" s="6"/>
      <c r="G11" s="43" t="s">
        <v>73</v>
      </c>
      <c r="H11" s="66">
        <f>ROUND(+C17*C10*C11,4)</f>
        <v>0</v>
      </c>
      <c r="J11" s="287"/>
      <c r="K11" s="288"/>
      <c r="L11" s="288"/>
      <c r="M11" s="288"/>
      <c r="N11" s="288"/>
      <c r="O11" s="288"/>
      <c r="P11" s="289"/>
    </row>
    <row r="12" spans="2:22" ht="15" thickBot="1">
      <c r="B12" s="215" t="s">
        <v>22</v>
      </c>
      <c r="C12" s="404"/>
      <c r="D12" s="3"/>
      <c r="E12" s="3"/>
      <c r="F12" s="6"/>
      <c r="G12" s="43" t="s">
        <v>57</v>
      </c>
      <c r="H12" s="155" t="e">
        <f>ROUND((C10*C11)*C18,4)</f>
        <v>#N/A</v>
      </c>
      <c r="J12" s="287"/>
      <c r="K12" s="288"/>
      <c r="L12" s="288"/>
      <c r="M12" s="288"/>
      <c r="N12" s="288"/>
      <c r="O12" s="288"/>
      <c r="P12" s="289"/>
    </row>
    <row r="13" spans="2:22" ht="15" thickBot="1">
      <c r="B13" s="218" t="s">
        <v>24</v>
      </c>
      <c r="C13" s="405"/>
      <c r="D13" s="574" t="s">
        <v>289</v>
      </c>
      <c r="E13" s="575"/>
      <c r="F13" s="6"/>
      <c r="G13" s="43" t="s">
        <v>34</v>
      </c>
      <c r="H13" s="66" t="e">
        <f>H9+H10+H11+H12</f>
        <v>#N/A</v>
      </c>
      <c r="I13" s="147"/>
      <c r="J13" s="287"/>
      <c r="K13" s="288"/>
      <c r="L13" s="288"/>
      <c r="M13" s="288"/>
      <c r="N13" s="288"/>
      <c r="O13" s="288"/>
      <c r="P13" s="289"/>
    </row>
    <row r="14" spans="2:22" ht="15" thickBot="1">
      <c r="B14" s="344" t="s">
        <v>319</v>
      </c>
      <c r="C14" s="345" t="e">
        <f>H26</f>
        <v>#N/A</v>
      </c>
      <c r="D14" s="434" t="e">
        <f>H21+H25</f>
        <v>#N/A</v>
      </c>
      <c r="E14" s="315" t="e">
        <f>C14-D14</f>
        <v>#N/A</v>
      </c>
      <c r="F14" s="6"/>
      <c r="G14" s="27"/>
      <c r="H14" s="66"/>
      <c r="I14" s="147"/>
      <c r="J14" s="287"/>
      <c r="K14" s="288"/>
      <c r="L14" s="288"/>
      <c r="M14" s="288"/>
      <c r="N14" s="288"/>
      <c r="O14" s="288"/>
      <c r="P14" s="289"/>
    </row>
    <row r="15" spans="2:22" ht="15" thickBot="1">
      <c r="B15" s="148"/>
      <c r="C15" s="174"/>
      <c r="D15" s="3"/>
      <c r="E15" s="3"/>
      <c r="F15" s="6"/>
      <c r="G15" s="43" t="s">
        <v>35</v>
      </c>
      <c r="H15" s="68" t="e">
        <f>H13/C11</f>
        <v>#N/A</v>
      </c>
      <c r="J15" s="287"/>
      <c r="K15" s="288"/>
      <c r="L15" s="288"/>
      <c r="M15" s="288"/>
      <c r="N15" s="288"/>
      <c r="O15" s="288"/>
      <c r="P15" s="289"/>
    </row>
    <row r="16" spans="2:22">
      <c r="B16" s="144" t="s">
        <v>63</v>
      </c>
      <c r="C16" s="352">
        <f>Rates!C3</f>
        <v>0.74109999999999998</v>
      </c>
      <c r="D16" s="346"/>
      <c r="E16" s="346"/>
      <c r="F16" s="6"/>
      <c r="G16" s="43" t="s">
        <v>314</v>
      </c>
      <c r="H16" s="440">
        <f>C9</f>
        <v>0</v>
      </c>
      <c r="J16" s="287"/>
      <c r="K16" s="288"/>
      <c r="L16" s="288"/>
      <c r="M16" s="288"/>
      <c r="N16" s="288"/>
      <c r="O16" s="288"/>
      <c r="P16" s="289"/>
    </row>
    <row r="17" spans="2:18" ht="15" thickBot="1">
      <c r="B17" s="145" t="s">
        <v>66</v>
      </c>
      <c r="C17" s="363">
        <f>Rates!C5</f>
        <v>0.1245</v>
      </c>
      <c r="D17" s="346"/>
      <c r="E17" s="346"/>
      <c r="F17" s="319"/>
      <c r="G17" s="43" t="s">
        <v>36</v>
      </c>
      <c r="H17" s="68">
        <f>ROUND(+C19*C10,4)</f>
        <v>0</v>
      </c>
      <c r="J17" s="290"/>
      <c r="K17" s="291"/>
      <c r="L17" s="291"/>
      <c r="M17" s="291"/>
      <c r="N17" s="291"/>
      <c r="O17" s="291"/>
      <c r="P17" s="292"/>
      <c r="R17" s="10"/>
    </row>
    <row r="18" spans="2:18">
      <c r="B18" s="145" t="s">
        <v>67</v>
      </c>
      <c r="C18" s="365" t="e">
        <f>VLOOKUP(C4,Rates!A14:B15,2,FALSE)</f>
        <v>#N/A</v>
      </c>
      <c r="D18" s="347"/>
      <c r="E18" s="347"/>
      <c r="F18" s="337"/>
      <c r="G18" s="43" t="s">
        <v>19</v>
      </c>
      <c r="H18" s="271">
        <f>IF(C5="Refillable",0,ROUND(+C20*C12,4))</f>
        <v>0</v>
      </c>
      <c r="Q18" s="6"/>
      <c r="R18" s="10"/>
    </row>
    <row r="19" spans="2:18" ht="15" thickBot="1">
      <c r="B19" s="145" t="s">
        <v>68</v>
      </c>
      <c r="C19" s="363">
        <f>Rates!B7</f>
        <v>0.17599999999999999</v>
      </c>
      <c r="D19" s="348"/>
      <c r="E19" s="348"/>
      <c r="F19" s="338"/>
      <c r="G19" s="43" t="s">
        <v>38</v>
      </c>
      <c r="H19" s="68" t="e">
        <f>ROUND(SUM(H15:H18),4)</f>
        <v>#N/A</v>
      </c>
    </row>
    <row r="20" spans="2:18" ht="16" thickBot="1">
      <c r="B20" s="145" t="s">
        <v>19</v>
      </c>
      <c r="C20" s="363">
        <f>Rates!B77</f>
        <v>8.9300000000000004E-2</v>
      </c>
      <c r="D20" s="346"/>
      <c r="E20" s="346"/>
      <c r="F20" s="337"/>
      <c r="G20" s="43" t="s">
        <v>21</v>
      </c>
      <c r="H20" s="271" t="e">
        <f>ROUND(+H19*C22,2)</f>
        <v>#N/A</v>
      </c>
      <c r="J20" s="93" t="s">
        <v>40</v>
      </c>
      <c r="K20" s="94"/>
      <c r="Q20" s="6"/>
    </row>
    <row r="21" spans="2:18" ht="15" customHeight="1">
      <c r="B21" s="43" t="s">
        <v>23</v>
      </c>
      <c r="C21" s="365">
        <f>IF(C10&lt;=20,20,50)</f>
        <v>20</v>
      </c>
      <c r="D21" s="349"/>
      <c r="E21" s="349"/>
      <c r="F21" s="337"/>
      <c r="G21" s="43" t="s">
        <v>39</v>
      </c>
      <c r="H21" s="68" t="e">
        <f>SUM(H20+H19)</f>
        <v>#N/A</v>
      </c>
      <c r="J21" s="576" t="s">
        <v>315</v>
      </c>
      <c r="K21" s="577"/>
      <c r="Q21" s="6"/>
    </row>
    <row r="22" spans="2:18">
      <c r="B22" s="145" t="s">
        <v>21</v>
      </c>
      <c r="C22" s="367">
        <f>Rates!B79</f>
        <v>0.13</v>
      </c>
      <c r="D22" s="350"/>
      <c r="E22" s="350"/>
      <c r="F22" s="339"/>
      <c r="G22" s="331" t="s">
        <v>288</v>
      </c>
      <c r="H22" s="160" t="e">
        <f>H24-H23</f>
        <v>#N/A</v>
      </c>
      <c r="J22" s="578"/>
      <c r="K22" s="579"/>
      <c r="Q22" s="6"/>
    </row>
    <row r="23" spans="2:18">
      <c r="B23" s="145" t="s">
        <v>69</v>
      </c>
      <c r="C23" s="364">
        <f>Rates!B39/100</f>
        <v>0.36950000000000005</v>
      </c>
      <c r="D23" s="347"/>
      <c r="E23" s="347"/>
      <c r="F23" s="337"/>
      <c r="G23" s="331" t="s">
        <v>21</v>
      </c>
      <c r="H23" s="272" t="e">
        <f>ROUND(+H24*(C22*100/(100+C22*100)),2)</f>
        <v>#N/A</v>
      </c>
      <c r="J23" s="578"/>
      <c r="K23" s="579"/>
      <c r="Q23" s="6"/>
      <c r="R23" s="8"/>
    </row>
    <row r="24" spans="2:18" ht="15" thickBot="1">
      <c r="B24" s="146" t="s">
        <v>70</v>
      </c>
      <c r="C24" s="366">
        <f>Rates!B32</f>
        <v>0</v>
      </c>
      <c r="D24" s="351"/>
      <c r="E24" s="351"/>
      <c r="F24" s="337"/>
      <c r="G24" s="441" t="s">
        <v>318</v>
      </c>
      <c r="H24" s="160" t="e">
        <f>MAX(CEILING(H21,0.05))</f>
        <v>#N/A</v>
      </c>
      <c r="J24" s="578"/>
      <c r="K24" s="579"/>
    </row>
    <row r="25" spans="2:18" ht="15" thickBot="1">
      <c r="F25" s="337"/>
      <c r="G25" s="442" t="s">
        <v>317</v>
      </c>
      <c r="H25" s="160">
        <f>C21</f>
        <v>20</v>
      </c>
      <c r="J25" s="578"/>
      <c r="K25" s="579"/>
    </row>
    <row r="26" spans="2:18" ht="16" thickBot="1">
      <c r="F26" s="337"/>
      <c r="G26" s="57" t="s">
        <v>320</v>
      </c>
      <c r="H26" s="58" t="e">
        <f>SUM(H24:H25)</f>
        <v>#N/A</v>
      </c>
      <c r="J26" s="580"/>
      <c r="K26" s="581"/>
    </row>
    <row r="27" spans="2:18">
      <c r="F27" s="337"/>
    </row>
    <row r="28" spans="2:18">
      <c r="F28" s="340"/>
      <c r="G28" s="1" t="s">
        <v>4</v>
      </c>
    </row>
    <row r="29" spans="2:18">
      <c r="F29" s="340"/>
      <c r="G29" s="223" t="s">
        <v>8</v>
      </c>
    </row>
    <row r="30" spans="2:18">
      <c r="F30" s="341"/>
    </row>
    <row r="31" spans="2:18">
      <c r="F31" s="340"/>
    </row>
    <row r="32" spans="2:18">
      <c r="F32" s="342"/>
    </row>
    <row r="33" spans="2:17">
      <c r="F33" s="343"/>
    </row>
    <row r="34" spans="2:17">
      <c r="F34" s="343"/>
    </row>
    <row r="35" spans="2:17">
      <c r="F35" s="343"/>
    </row>
    <row r="36" spans="2:17">
      <c r="F36" s="342"/>
      <c r="Q36" s="117"/>
    </row>
    <row r="37" spans="2:17">
      <c r="F37" s="343"/>
    </row>
    <row r="38" spans="2:17">
      <c r="F38" s="343"/>
    </row>
    <row r="39" spans="2:17">
      <c r="F39" s="343"/>
    </row>
    <row r="40" spans="2:17">
      <c r="F40" s="284"/>
    </row>
    <row r="41" spans="2:17" ht="15.5">
      <c r="F41" s="330"/>
      <c r="P41" s="4"/>
    </row>
    <row r="42" spans="2:17">
      <c r="B42" s="5"/>
      <c r="C42" s="118"/>
      <c r="D42" s="118"/>
      <c r="E42" s="118"/>
    </row>
    <row r="43" spans="2:17">
      <c r="F43" s="118"/>
    </row>
    <row r="46" spans="2:17">
      <c r="P46" s="8"/>
    </row>
    <row r="47" spans="2:17">
      <c r="C47" s="119"/>
      <c r="D47" s="119"/>
      <c r="E47" s="119"/>
      <c r="P47" s="8"/>
    </row>
    <row r="48" spans="2:17">
      <c r="F48" s="119"/>
    </row>
    <row r="49" spans="2:18">
      <c r="P49" s="11"/>
    </row>
    <row r="50" spans="2:18">
      <c r="C50" s="120"/>
      <c r="D50" s="120"/>
      <c r="E50" s="120"/>
    </row>
    <row r="51" spans="2:18">
      <c r="B51" s="121"/>
      <c r="C51" s="121"/>
      <c r="D51" s="121"/>
      <c r="E51" s="121"/>
      <c r="F51" s="120"/>
      <c r="I51" s="8"/>
      <c r="P51" s="8"/>
    </row>
    <row r="52" spans="2:18">
      <c r="B52" s="120"/>
      <c r="C52" s="120"/>
      <c r="D52" s="120"/>
      <c r="E52" s="120"/>
      <c r="F52" s="121"/>
    </row>
    <row r="53" spans="2:18">
      <c r="F53" s="120"/>
      <c r="P53" s="8"/>
    </row>
    <row r="54" spans="2:18">
      <c r="P54" s="8"/>
    </row>
    <row r="55" spans="2:18">
      <c r="B55" s="8"/>
      <c r="C55" s="8"/>
      <c r="D55" s="8"/>
      <c r="E55" s="8"/>
      <c r="P55" s="11"/>
    </row>
    <row r="56" spans="2:18">
      <c r="B56" s="8"/>
      <c r="C56" s="8"/>
      <c r="D56" s="8"/>
      <c r="E56" s="8"/>
      <c r="F56" s="8"/>
      <c r="P56" s="8"/>
    </row>
    <row r="57" spans="2:18">
      <c r="B57" s="8"/>
      <c r="C57" s="8"/>
      <c r="D57" s="8"/>
      <c r="E57" s="8"/>
      <c r="F57" s="8"/>
      <c r="I57" s="8"/>
      <c r="P57" s="8"/>
    </row>
    <row r="58" spans="2:18">
      <c r="B58" s="8"/>
      <c r="C58" s="8"/>
      <c r="D58" s="8"/>
      <c r="E58" s="8"/>
      <c r="F58" s="8"/>
      <c r="R58" s="11"/>
    </row>
    <row r="59" spans="2:18">
      <c r="B59" s="8"/>
      <c r="C59" s="8"/>
      <c r="D59" s="8"/>
      <c r="E59" s="8"/>
      <c r="F59" s="8"/>
      <c r="I59" s="11"/>
      <c r="P59" s="8"/>
    </row>
    <row r="60" spans="2:18">
      <c r="B60" s="8"/>
      <c r="C60" s="8"/>
      <c r="D60" s="8"/>
      <c r="E60" s="8"/>
      <c r="F60" s="8"/>
      <c r="P60" s="8"/>
      <c r="Q60" s="122"/>
      <c r="R60" s="123"/>
    </row>
    <row r="61" spans="2:18">
      <c r="B61" s="8"/>
      <c r="C61" s="8"/>
      <c r="D61" s="8"/>
      <c r="E61" s="8"/>
      <c r="F61" s="8"/>
      <c r="P61" s="11"/>
    </row>
    <row r="62" spans="2:18">
      <c r="B62" s="8"/>
      <c r="C62" s="8"/>
      <c r="D62" s="8"/>
      <c r="E62" s="8"/>
      <c r="F62" s="8"/>
      <c r="P62" s="8"/>
      <c r="Q62" s="124"/>
      <c r="R62" s="8"/>
    </row>
    <row r="63" spans="2:18">
      <c r="B63" s="8"/>
      <c r="C63" s="8"/>
      <c r="D63" s="8"/>
      <c r="E63" s="8"/>
      <c r="F63" s="8"/>
      <c r="I63" s="8"/>
      <c r="P63" s="11"/>
      <c r="R63" s="8"/>
    </row>
    <row r="64" spans="2:18">
      <c r="B64" s="8"/>
      <c r="C64" s="8"/>
      <c r="D64" s="8"/>
      <c r="E64" s="8"/>
      <c r="F64" s="8"/>
      <c r="P64" s="8"/>
      <c r="R64" s="11"/>
    </row>
    <row r="65" spans="2:16">
      <c r="B65" s="8"/>
      <c r="C65" s="8"/>
      <c r="D65" s="8"/>
      <c r="E65" s="8"/>
      <c r="F65" s="8"/>
      <c r="I65" s="11"/>
      <c r="P65" s="123"/>
    </row>
    <row r="66" spans="2:16">
      <c r="B66" s="8"/>
      <c r="C66" s="8"/>
      <c r="D66" s="8"/>
      <c r="E66" s="8"/>
      <c r="F66" s="8"/>
      <c r="P66" s="8"/>
    </row>
    <row r="67" spans="2:16">
      <c r="B67" s="8"/>
      <c r="C67" s="8"/>
      <c r="D67" s="8"/>
      <c r="E67" s="8"/>
      <c r="F67" s="8"/>
      <c r="I67" s="11"/>
      <c r="P67" s="11"/>
    </row>
    <row r="68" spans="2:16">
      <c r="B68" s="8"/>
      <c r="C68" s="8"/>
      <c r="D68" s="8"/>
      <c r="E68" s="8"/>
      <c r="F68" s="8"/>
      <c r="P68" s="8"/>
    </row>
    <row r="69" spans="2:16">
      <c r="B69" s="8"/>
      <c r="C69" s="8"/>
      <c r="D69" s="8"/>
      <c r="E69" s="8"/>
      <c r="F69" s="8"/>
      <c r="P69" s="8"/>
    </row>
    <row r="70" spans="2:16">
      <c r="B70" s="8"/>
      <c r="C70" s="8"/>
      <c r="D70" s="8"/>
      <c r="E70" s="8"/>
      <c r="F70" s="8"/>
      <c r="P70" s="8"/>
    </row>
    <row r="71" spans="2:16">
      <c r="F71" s="8"/>
      <c r="I71" s="11"/>
      <c r="P71" s="8"/>
    </row>
    <row r="73" spans="2:16">
      <c r="P73" s="125"/>
    </row>
    <row r="75" spans="2:16">
      <c r="P75" s="9"/>
    </row>
    <row r="77" spans="2:16">
      <c r="I77" s="11"/>
    </row>
    <row r="79" spans="2:16">
      <c r="I79" s="9"/>
      <c r="P79" s="9"/>
    </row>
    <row r="83" spans="3:16">
      <c r="I83" s="9"/>
    </row>
    <row r="84" spans="3:16">
      <c r="C84" s="9"/>
      <c r="D84" s="9"/>
      <c r="E84" s="9"/>
    </row>
    <row r="85" spans="3:16">
      <c r="F85" s="9"/>
      <c r="P85" s="9"/>
    </row>
    <row r="89" spans="3:16">
      <c r="I89" s="9"/>
    </row>
    <row r="90" spans="3:16">
      <c r="C90" s="9"/>
      <c r="D90" s="9"/>
      <c r="E90" s="9"/>
    </row>
    <row r="91" spans="3:16">
      <c r="F91" s="9"/>
    </row>
  </sheetData>
  <sheetProtection formatColumns="0" autoFilter="0" pivotTables="0"/>
  <protectedRanges>
    <protectedRange sqref="C23:E24 C4 C18:E18 C6:C14 C21:E21" name="Range1"/>
    <protectedRange password="CCE3" sqref="B21" name="Range3_1"/>
  </protectedRanges>
  <mergeCells count="2">
    <mergeCell ref="D13:E13"/>
    <mergeCell ref="J21:K26"/>
  </mergeCells>
  <conditionalFormatting sqref="E14">
    <cfRule type="cellIs" dxfId="8" priority="1" operator="lessThan">
      <formula>0</formula>
    </cfRule>
    <cfRule type="cellIs" dxfId="7" priority="2" operator="greaterThan">
      <formula>0</formula>
    </cfRule>
    <cfRule type="cellIs" dxfId="6" priority="3" operator="greaterThan">
      <formula>0</formula>
    </cfRule>
  </conditionalFormatting>
  <hyperlinks>
    <hyperlink ref="G29" r:id="rId1" display="https://www.doingbusinesswithlcbo.com/content/dbwl/en/basepage/home/new-supplier-agent/Pricing/HelpfulToolsandLinks.html" xr:uid="{00C62198-157D-4AD5-9074-80FBB66F6851}"/>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A19F96D-9451-42FB-B7BE-D15B79D66093}">
          <x14:formula1>
            <xm:f>Rates!$F$94:$F$95</xm:f>
          </x14:formula1>
          <xm:sqref>C5</xm:sqref>
        </x14:dataValidation>
        <x14:dataValidation type="list" allowBlank="1" showInputMessage="1" showErrorMessage="1" xr:uid="{C20A0E15-55FE-4001-8E7F-62DBE011476C}">
          <x14:formula1>
            <xm:f>Rates!$B$94:$B$95</xm:f>
          </x14:formula1>
          <xm:sqref>C4</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ACEC8-1E69-4342-8EA7-5242FD9FF158}">
  <sheetPr codeName="Sheet15">
    <tabColor rgb="FFFFFF00"/>
  </sheetPr>
  <dimension ref="A1:W47"/>
  <sheetViews>
    <sheetView zoomScaleNormal="100" workbookViewId="0">
      <selection activeCell="J18" sqref="J18:K24"/>
    </sheetView>
  </sheetViews>
  <sheetFormatPr defaultColWidth="7.4609375" defaultRowHeight="14.5"/>
  <cols>
    <col min="1" max="1" width="2.765625" style="1" customWidth="1"/>
    <col min="2" max="2" width="23.3046875" style="1" customWidth="1"/>
    <col min="3" max="3" width="20.69140625" style="6" customWidth="1"/>
    <col min="4" max="4" width="7.4609375" style="6" customWidth="1"/>
    <col min="5" max="5" width="9.4609375" style="6" customWidth="1"/>
    <col min="6" max="6" width="1.765625" style="6" customWidth="1"/>
    <col min="7" max="7" width="23.765625" style="6" customWidth="1"/>
    <col min="8" max="8" width="20.69140625" style="6" customWidth="1"/>
    <col min="9" max="9" width="5.765625" style="6" customWidth="1"/>
    <col min="10" max="10" width="17.69140625" style="1" bestFit="1" customWidth="1"/>
    <col min="11" max="11" width="10.765625" style="1" customWidth="1"/>
    <col min="12" max="12" width="8.69140625" style="1" customWidth="1"/>
    <col min="13" max="13" width="8.23046875" style="1" customWidth="1"/>
    <col min="14" max="14" width="6.53515625" style="1" customWidth="1"/>
    <col min="15" max="15" width="4.69140625" style="1" customWidth="1"/>
    <col min="16" max="16" width="16.23046875" style="1" customWidth="1"/>
    <col min="17" max="17" width="12.84375" style="1" customWidth="1"/>
    <col min="18" max="19" width="12" style="1" customWidth="1"/>
    <col min="20" max="20" width="12.84375" style="1" bestFit="1" customWidth="1"/>
    <col min="21" max="21" width="16.765625" style="1" customWidth="1"/>
    <col min="22" max="22" width="10.4609375" style="1" customWidth="1"/>
    <col min="23" max="16384" width="7.4609375" style="1"/>
  </cols>
  <sheetData>
    <row r="1" spans="2:22" ht="18.5">
      <c r="B1" s="170" t="s">
        <v>488</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50</v>
      </c>
      <c r="C4" s="393"/>
      <c r="G4" s="65" t="s">
        <v>55</v>
      </c>
      <c r="H4" s="99"/>
      <c r="J4" s="285" t="s">
        <v>283</v>
      </c>
      <c r="K4" s="25"/>
      <c r="L4" s="286"/>
      <c r="M4" s="25"/>
      <c r="N4" s="25"/>
      <c r="O4" s="25"/>
      <c r="P4" s="115"/>
    </row>
    <row r="5" spans="2:22" ht="15" thickBot="1">
      <c r="B5" s="33" t="s">
        <v>64</v>
      </c>
      <c r="C5" s="394"/>
      <c r="G5" s="40" t="s">
        <v>56</v>
      </c>
      <c r="H5" s="41">
        <f>ROUND(C7*C8,4)</f>
        <v>0</v>
      </c>
      <c r="J5" s="293"/>
      <c r="K5" s="294"/>
      <c r="L5" s="294"/>
      <c r="M5" s="294"/>
      <c r="N5" s="294"/>
      <c r="O5" s="294"/>
      <c r="P5" s="295"/>
    </row>
    <row r="6" spans="2:22" ht="15" thickBot="1">
      <c r="B6" s="215" t="s">
        <v>323</v>
      </c>
      <c r="C6" s="394"/>
      <c r="G6" s="27" t="s">
        <v>30</v>
      </c>
      <c r="H6" s="282">
        <f>IF(C4=Rates!A66, ROUND(C12*C11*C14*C17,4),ROUND(+C12*C11*C17,4))</f>
        <v>0</v>
      </c>
      <c r="J6" s="287"/>
      <c r="K6" s="288"/>
      <c r="L6" s="288"/>
      <c r="M6" s="288"/>
      <c r="N6" s="288"/>
      <c r="O6" s="288"/>
      <c r="P6" s="289"/>
      <c r="T6" s="26"/>
    </row>
    <row r="7" spans="2:22" ht="15" thickBot="1">
      <c r="B7" s="33" t="s">
        <v>12</v>
      </c>
      <c r="C7" s="395"/>
      <c r="G7" s="27" t="s">
        <v>29</v>
      </c>
      <c r="H7" s="42">
        <f>H5*C18</f>
        <v>0</v>
      </c>
      <c r="J7" s="287"/>
      <c r="K7" s="288"/>
      <c r="L7" s="288"/>
      <c r="M7" s="288"/>
      <c r="N7" s="288"/>
      <c r="O7" s="288"/>
      <c r="P7" s="289"/>
    </row>
    <row r="8" spans="2:22" ht="15" thickBot="1">
      <c r="B8" s="215" t="s">
        <v>14</v>
      </c>
      <c r="C8" s="396"/>
      <c r="G8" s="43" t="s">
        <v>16</v>
      </c>
      <c r="H8" s="42">
        <f>C9</f>
        <v>0</v>
      </c>
      <c r="J8" s="287"/>
      <c r="K8" s="288"/>
      <c r="L8" s="288"/>
      <c r="M8" s="288"/>
      <c r="N8" s="288"/>
      <c r="O8" s="288"/>
      <c r="P8" s="289"/>
      <c r="T8" s="26"/>
    </row>
    <row r="9" spans="2:22" ht="15" thickBot="1">
      <c r="B9" s="217" t="s">
        <v>316</v>
      </c>
      <c r="C9" s="395"/>
      <c r="G9" s="43" t="s">
        <v>31</v>
      </c>
      <c r="H9" s="44">
        <f>SUM(H5:H8)</f>
        <v>0</v>
      </c>
      <c r="J9" s="287"/>
      <c r="K9" s="288"/>
      <c r="L9" s="288"/>
      <c r="M9" s="288"/>
      <c r="N9" s="288"/>
      <c r="O9" s="288"/>
      <c r="P9" s="289"/>
    </row>
    <row r="10" spans="2:22" ht="15" thickBot="1">
      <c r="B10" s="217" t="s">
        <v>314</v>
      </c>
      <c r="C10" s="395"/>
      <c r="G10" s="43" t="s">
        <v>57</v>
      </c>
      <c r="H10" s="45" t="e">
        <f>ROUND(H9*C20,4)</f>
        <v>#N/A</v>
      </c>
      <c r="J10" s="287"/>
      <c r="K10" s="288"/>
      <c r="L10" s="288"/>
      <c r="M10" s="288"/>
      <c r="N10" s="288"/>
      <c r="O10" s="288"/>
      <c r="P10" s="289"/>
      <c r="T10" s="26"/>
    </row>
    <row r="11" spans="2:22" ht="15" thickBot="1">
      <c r="B11" s="216" t="s">
        <v>18</v>
      </c>
      <c r="C11" s="397"/>
      <c r="G11" s="43" t="s">
        <v>58</v>
      </c>
      <c r="H11" s="42" t="e">
        <f>SUM(H9:H10)</f>
        <v>#N/A</v>
      </c>
      <c r="J11" s="287"/>
      <c r="K11" s="288"/>
      <c r="L11" s="288"/>
      <c r="M11" s="288"/>
      <c r="N11" s="288"/>
      <c r="O11" s="288"/>
      <c r="P11" s="289"/>
    </row>
    <row r="12" spans="2:22" ht="15" thickBot="1">
      <c r="B12" s="215" t="s">
        <v>20</v>
      </c>
      <c r="C12" s="398"/>
      <c r="G12" s="43"/>
      <c r="H12" s="80"/>
      <c r="J12" s="287"/>
      <c r="K12" s="288"/>
      <c r="L12" s="288"/>
      <c r="M12" s="288"/>
      <c r="N12" s="288"/>
      <c r="O12" s="288"/>
      <c r="P12" s="289"/>
      <c r="T12" s="26"/>
    </row>
    <row r="13" spans="2:22" ht="15" thickBot="1">
      <c r="B13" s="215" t="s">
        <v>22</v>
      </c>
      <c r="C13" s="398"/>
      <c r="G13" s="43" t="s">
        <v>35</v>
      </c>
      <c r="H13" s="45" t="e">
        <f>ROUND(H11/C12,4)</f>
        <v>#N/A</v>
      </c>
      <c r="J13" s="287"/>
      <c r="K13" s="288"/>
      <c r="L13" s="288"/>
      <c r="M13" s="288"/>
      <c r="N13" s="288"/>
      <c r="O13" s="288"/>
      <c r="P13" s="289"/>
    </row>
    <row r="14" spans="2:22" ht="15" thickBot="1">
      <c r="B14" s="218" t="s">
        <v>24</v>
      </c>
      <c r="C14" s="399"/>
      <c r="D14" s="574" t="s">
        <v>289</v>
      </c>
      <c r="E14" s="575"/>
      <c r="G14" s="43" t="s">
        <v>314</v>
      </c>
      <c r="H14" s="45">
        <f>C10</f>
        <v>0</v>
      </c>
      <c r="J14" s="287"/>
      <c r="K14" s="288"/>
      <c r="L14" s="288"/>
      <c r="M14" s="288"/>
      <c r="N14" s="288"/>
      <c r="O14" s="288"/>
      <c r="P14" s="289"/>
    </row>
    <row r="15" spans="2:22" ht="15" thickBot="1">
      <c r="B15" s="344" t="s">
        <v>319</v>
      </c>
      <c r="C15" s="336" t="e">
        <f>H25</f>
        <v>#N/A</v>
      </c>
      <c r="D15" s="434" t="e">
        <f>H20+H24</f>
        <v>#N/A</v>
      </c>
      <c r="E15" s="315" t="e">
        <f>C15-D15</f>
        <v>#N/A</v>
      </c>
      <c r="G15" s="43" t="s">
        <v>36</v>
      </c>
      <c r="H15" s="42">
        <f>ROUND(C21*C11,4)</f>
        <v>0</v>
      </c>
      <c r="J15" s="287"/>
      <c r="K15" s="288"/>
      <c r="L15" s="288"/>
      <c r="M15" s="288"/>
      <c r="N15" s="288"/>
      <c r="O15" s="288"/>
      <c r="P15" s="289"/>
    </row>
    <row r="16" spans="2:22" ht="15" thickBot="1">
      <c r="C16" s="25"/>
      <c r="G16" s="43" t="s">
        <v>37</v>
      </c>
      <c r="H16" s="42">
        <v>0</v>
      </c>
      <c r="J16" s="290"/>
      <c r="K16" s="291"/>
      <c r="L16" s="291"/>
      <c r="M16" s="291"/>
      <c r="N16" s="291"/>
      <c r="O16" s="291"/>
      <c r="P16" s="292"/>
      <c r="S16" s="7"/>
      <c r="T16" s="3"/>
      <c r="U16" s="7"/>
      <c r="V16" s="3"/>
    </row>
    <row r="17" spans="1:23" ht="15" thickBot="1">
      <c r="B17" s="52" t="s">
        <v>3</v>
      </c>
      <c r="C17" s="376">
        <f>IF(C6="Domestic",0,Rates!B27)</f>
        <v>0.35099999999999998</v>
      </c>
      <c r="G17" s="43" t="s">
        <v>19</v>
      </c>
      <c r="H17" s="443">
        <f>IF(C5="Non-Refillable",ROUND(C22*C13,4),0)</f>
        <v>0</v>
      </c>
      <c r="J17" s="8"/>
      <c r="S17" s="7"/>
      <c r="U17" s="3"/>
      <c r="V17" s="29"/>
    </row>
    <row r="18" spans="1:23" ht="16" thickBot="1">
      <c r="B18" s="43" t="s">
        <v>7</v>
      </c>
      <c r="C18" s="359">
        <f>IF(C6="Other",IF(C4="Still Cider",Rates!B130,IF(C4="Sparkling Cider",Rates!B131,Rates!B132)),0)</f>
        <v>0</v>
      </c>
      <c r="G18" s="43" t="s">
        <v>38</v>
      </c>
      <c r="H18" s="45" t="e">
        <f>SUM(H13:H17)</f>
        <v>#N/A</v>
      </c>
      <c r="J18" s="93" t="s">
        <v>40</v>
      </c>
      <c r="K18" s="94"/>
      <c r="S18" s="29"/>
      <c r="T18" s="29"/>
    </row>
    <row r="19" spans="1:23" ht="15.75" customHeight="1">
      <c r="B19" s="27" t="s">
        <v>11</v>
      </c>
      <c r="C19" s="359">
        <v>0</v>
      </c>
      <c r="D19" s="574" t="s">
        <v>284</v>
      </c>
      <c r="E19" s="575"/>
      <c r="G19" s="43" t="s">
        <v>21</v>
      </c>
      <c r="H19" s="44" t="e">
        <f>ROUND(H18*C23,4)</f>
        <v>#N/A</v>
      </c>
      <c r="J19" s="576" t="s">
        <v>315</v>
      </c>
      <c r="K19" s="577"/>
      <c r="R19" s="18"/>
      <c r="S19" s="18"/>
    </row>
    <row r="20" spans="1:23" ht="15.75" customHeight="1">
      <c r="B20" s="43" t="s">
        <v>17</v>
      </c>
      <c r="C20" s="356" t="e">
        <f>VLOOKUP(C4,Rates!A66:C71,2,0)</f>
        <v>#N/A</v>
      </c>
      <c r="D20" s="316" t="e">
        <f>C38</f>
        <v>#N/A</v>
      </c>
      <c r="E20" s="315" t="e">
        <f>D20-C20</f>
        <v>#N/A</v>
      </c>
      <c r="F20" s="322"/>
      <c r="G20" s="43" t="s">
        <v>39</v>
      </c>
      <c r="H20" s="45" t="e">
        <f>SUM(H18:H19)</f>
        <v>#N/A</v>
      </c>
      <c r="J20" s="578"/>
      <c r="K20" s="579"/>
      <c r="S20" s="29"/>
      <c r="T20" s="18"/>
      <c r="U20" s="18"/>
    </row>
    <row r="21" spans="1:23" ht="15.75" customHeight="1">
      <c r="B21" s="43" t="s">
        <v>36</v>
      </c>
      <c r="C21" s="354">
        <f>IF(C4=Rates!A66,Rates!B54,Rates!B55)</f>
        <v>0.28000000000000003</v>
      </c>
      <c r="D21" s="321"/>
      <c r="E21" s="321"/>
      <c r="F21" s="321"/>
      <c r="G21" s="331" t="s">
        <v>288</v>
      </c>
      <c r="H21" s="49" t="e">
        <f>H23-H22</f>
        <v>#N/A</v>
      </c>
      <c r="J21" s="578"/>
      <c r="K21" s="579"/>
      <c r="S21" s="29"/>
      <c r="T21" s="18"/>
      <c r="U21" s="18"/>
    </row>
    <row r="22" spans="1:23" ht="15.75" customHeight="1">
      <c r="B22" s="43" t="s">
        <v>19</v>
      </c>
      <c r="C22" s="354">
        <f>Rates!B77</f>
        <v>8.9300000000000004E-2</v>
      </c>
      <c r="D22" s="323"/>
      <c r="E22" s="323"/>
      <c r="F22" s="321"/>
      <c r="G22" s="331" t="s">
        <v>21</v>
      </c>
      <c r="H22" s="78" t="e">
        <f>ROUND(H23*C23/(1+C23),2)</f>
        <v>#N/A</v>
      </c>
      <c r="J22" s="578"/>
      <c r="K22" s="579"/>
      <c r="S22" s="29"/>
      <c r="T22" s="18"/>
      <c r="U22" s="18"/>
    </row>
    <row r="23" spans="1:23" ht="15.75" customHeight="1">
      <c r="B23" s="43" t="s">
        <v>21</v>
      </c>
      <c r="C23" s="356">
        <f>Rates!B79</f>
        <v>0.13</v>
      </c>
      <c r="D23" s="324"/>
      <c r="E23" s="324"/>
      <c r="F23" s="323"/>
      <c r="G23" s="441" t="s">
        <v>318</v>
      </c>
      <c r="H23" s="50" t="e">
        <f>IF(C38&lt;C20,C36+0.05,C36)</f>
        <v>#N/A</v>
      </c>
      <c r="J23" s="578"/>
      <c r="K23" s="579"/>
      <c r="S23" s="29"/>
      <c r="T23" s="18"/>
      <c r="U23" s="18"/>
    </row>
    <row r="24" spans="1:23" ht="16.5" customHeight="1" thickBot="1">
      <c r="B24" s="43" t="s">
        <v>23</v>
      </c>
      <c r="C24" s="354">
        <f>IF(C11&lt;=20,20,50)</f>
        <v>20</v>
      </c>
      <c r="D24" s="321"/>
      <c r="E24" s="321"/>
      <c r="F24" s="324"/>
      <c r="G24" s="442" t="s">
        <v>317</v>
      </c>
      <c r="H24" s="51">
        <f>ROUND(C13*C24,2)</f>
        <v>0</v>
      </c>
      <c r="J24" s="580"/>
      <c r="K24" s="581"/>
      <c r="S24" s="29"/>
      <c r="T24" s="18"/>
      <c r="U24" s="81"/>
    </row>
    <row r="25" spans="1:23" ht="16" thickBot="1">
      <c r="B25" s="56" t="s">
        <v>25</v>
      </c>
      <c r="C25" s="358">
        <f>+ROUND(((C11*C12)*C14),4)</f>
        <v>0</v>
      </c>
      <c r="D25" s="325"/>
      <c r="E25" s="325"/>
      <c r="F25" s="321"/>
      <c r="G25" s="57" t="s">
        <v>320</v>
      </c>
      <c r="H25" s="58" t="e">
        <f>SUM(H23:H24)</f>
        <v>#N/A</v>
      </c>
      <c r="J25" s="82"/>
      <c r="S25" s="29"/>
      <c r="T25" s="18"/>
    </row>
    <row r="26" spans="1:23">
      <c r="D26" s="324"/>
      <c r="E26" s="324"/>
      <c r="F26" s="325"/>
      <c r="G26" s="326"/>
      <c r="H26" s="326"/>
      <c r="J26" s="75"/>
      <c r="K26" s="75"/>
      <c r="L26" s="75"/>
      <c r="M26" s="75"/>
      <c r="S26" s="29"/>
      <c r="T26" s="18"/>
      <c r="U26" s="18"/>
    </row>
    <row r="27" spans="1:23">
      <c r="D27" s="321"/>
      <c r="E27" s="321"/>
      <c r="F27" s="324"/>
      <c r="G27" s="1" t="s">
        <v>4</v>
      </c>
      <c r="H27" s="324"/>
      <c r="J27" s="75"/>
      <c r="K27" s="75"/>
      <c r="L27" s="75"/>
      <c r="S27" s="29"/>
      <c r="T27" s="18"/>
      <c r="U27" s="18"/>
    </row>
    <row r="28" spans="1:23" ht="15" customHeight="1">
      <c r="D28" s="321"/>
      <c r="E28" s="321"/>
      <c r="F28" s="321"/>
      <c r="G28" s="223" t="s">
        <v>8</v>
      </c>
      <c r="H28" s="323"/>
      <c r="J28" s="9"/>
      <c r="S28" s="29"/>
      <c r="T28" s="18"/>
      <c r="U28" s="18"/>
    </row>
    <row r="29" spans="1:23" s="75" customFormat="1" hidden="1">
      <c r="A29" s="1"/>
      <c r="B29" s="1"/>
      <c r="C29" s="6"/>
      <c r="D29" s="323"/>
      <c r="E29" s="323"/>
      <c r="F29" s="321"/>
      <c r="G29" s="320"/>
      <c r="H29" s="320"/>
      <c r="I29" s="323"/>
      <c r="J29" s="14"/>
      <c r="K29" s="1"/>
      <c r="L29" s="1"/>
      <c r="M29" s="1"/>
      <c r="N29" s="1"/>
      <c r="O29" s="1"/>
      <c r="P29" s="1"/>
      <c r="Q29" s="1"/>
      <c r="S29" s="77"/>
      <c r="T29" s="91"/>
      <c r="U29" s="92"/>
      <c r="V29" s="76"/>
      <c r="W29" s="76"/>
    </row>
    <row r="30" spans="1:23" s="75" customFormat="1" hidden="1">
      <c r="B30" s="1" t="s">
        <v>44</v>
      </c>
      <c r="C30" s="23" t="e">
        <f>ROUND(((H21-H17-H15-H16)*C12)/H9-1,4)</f>
        <v>#N/A</v>
      </c>
      <c r="D30" s="320"/>
      <c r="E30" s="320"/>
      <c r="F30" s="323"/>
      <c r="G30" s="319"/>
      <c r="H30" s="319"/>
      <c r="I30" s="320"/>
      <c r="J30" s="14"/>
      <c r="K30" s="1"/>
      <c r="L30" s="1"/>
      <c r="M30" s="1"/>
      <c r="N30" s="1"/>
      <c r="O30" s="1"/>
      <c r="P30" s="1"/>
      <c r="Q30" s="1"/>
      <c r="S30" s="77"/>
      <c r="T30" s="91"/>
      <c r="U30" s="92"/>
      <c r="V30" s="76"/>
      <c r="W30" s="76"/>
    </row>
    <row r="31" spans="1:23" hidden="1">
      <c r="A31" s="75"/>
      <c r="B31" s="1" t="s">
        <v>45</v>
      </c>
      <c r="C31" s="30" t="e">
        <f>ROUND(+H21-(H9/C12),4)</f>
        <v>#N/A</v>
      </c>
      <c r="D31" s="328"/>
      <c r="E31" s="328"/>
      <c r="F31" s="320"/>
      <c r="G31" s="329"/>
      <c r="H31" s="329"/>
      <c r="I31" s="328"/>
      <c r="J31" s="87"/>
      <c r="S31" s="29"/>
      <c r="T31" s="18"/>
      <c r="U31" s="18"/>
    </row>
    <row r="32" spans="1:23" hidden="1">
      <c r="B32" s="1" t="s">
        <v>46</v>
      </c>
      <c r="C32" s="20" t="e">
        <f>ROUND(C31/H18,3)</f>
        <v>#N/A</v>
      </c>
      <c r="D32" s="320"/>
      <c r="E32" s="320"/>
      <c r="F32" s="328"/>
      <c r="G32" s="319"/>
      <c r="H32" s="319"/>
      <c r="I32" s="320"/>
      <c r="S32" s="29"/>
      <c r="T32" s="18"/>
      <c r="U32" s="18"/>
    </row>
    <row r="33" spans="2:21" ht="15.5" hidden="1">
      <c r="C33" s="20"/>
      <c r="D33" s="319"/>
      <c r="E33" s="319"/>
      <c r="F33" s="320"/>
      <c r="G33" s="330"/>
      <c r="H33" s="330"/>
      <c r="I33" s="319"/>
      <c r="S33" s="29"/>
      <c r="T33" s="18"/>
      <c r="U33" s="18"/>
    </row>
    <row r="34" spans="2:21" hidden="1">
      <c r="B34" s="1" t="s">
        <v>48</v>
      </c>
      <c r="C34" s="85" t="e">
        <f>C36-C35</f>
        <v>#N/A</v>
      </c>
      <c r="D34" s="329"/>
      <c r="E34" s="329"/>
      <c r="F34" s="319"/>
      <c r="I34" s="329"/>
      <c r="J34" s="23"/>
      <c r="S34" s="29"/>
      <c r="T34" s="18"/>
      <c r="U34" s="89"/>
    </row>
    <row r="35" spans="2:21" hidden="1">
      <c r="B35" s="1" t="s">
        <v>21</v>
      </c>
      <c r="C35" s="85" t="e">
        <f>ROUND(C36*C23/(1+C23),2)</f>
        <v>#N/A</v>
      </c>
      <c r="D35" s="319"/>
      <c r="E35" s="319"/>
      <c r="F35" s="329"/>
      <c r="G35" s="23"/>
      <c r="H35" s="23"/>
      <c r="I35" s="319"/>
      <c r="S35" s="29"/>
      <c r="T35" s="18"/>
      <c r="U35" s="90"/>
    </row>
    <row r="36" spans="2:21" ht="15.5" hidden="1">
      <c r="B36" s="1" t="s">
        <v>49</v>
      </c>
      <c r="C36" s="85" t="e">
        <f>IF(MOD(H20*1000,50)&gt;24.99,CEILING(H20,0.05),FLOOR(H20,0.05))</f>
        <v>#N/A</v>
      </c>
      <c r="D36" s="330"/>
      <c r="E36" s="330"/>
      <c r="F36" s="319"/>
      <c r="G36" s="30"/>
      <c r="H36" s="30"/>
      <c r="I36" s="330"/>
      <c r="S36" s="29"/>
      <c r="T36" s="18"/>
      <c r="U36" s="90"/>
    </row>
    <row r="37" spans="2:21" ht="15.5" hidden="1">
      <c r="F37" s="330"/>
      <c r="G37" s="20"/>
      <c r="H37" s="20"/>
    </row>
    <row r="38" spans="2:21" hidden="1">
      <c r="B38" s="9" t="s">
        <v>47</v>
      </c>
      <c r="C38" s="88" t="e">
        <f>ROUND(((C34-H17-H15-H16)*C12)/H9-1,4)</f>
        <v>#N/A</v>
      </c>
      <c r="D38" s="23"/>
      <c r="E38" s="23"/>
      <c r="G38" s="20"/>
      <c r="H38" s="20"/>
      <c r="I38" s="23"/>
    </row>
    <row r="39" spans="2:21">
      <c r="D39" s="30"/>
      <c r="E39" s="30"/>
      <c r="F39" s="23"/>
      <c r="G39" s="85"/>
      <c r="H39" s="85"/>
      <c r="I39" s="30"/>
    </row>
    <row r="40" spans="2:21">
      <c r="D40" s="20"/>
      <c r="E40" s="20"/>
      <c r="F40" s="30"/>
      <c r="G40" s="85"/>
      <c r="H40" s="85"/>
      <c r="I40" s="20"/>
    </row>
    <row r="41" spans="2:21">
      <c r="D41" s="20"/>
      <c r="E41" s="20"/>
      <c r="F41" s="20"/>
      <c r="G41" s="85"/>
      <c r="H41" s="85"/>
      <c r="I41" s="20"/>
    </row>
    <row r="42" spans="2:21">
      <c r="D42" s="85"/>
      <c r="E42" s="85"/>
      <c r="F42" s="20"/>
      <c r="I42" s="85"/>
    </row>
    <row r="43" spans="2:21">
      <c r="D43" s="85"/>
      <c r="E43" s="85"/>
      <c r="F43" s="85"/>
      <c r="G43" s="88"/>
      <c r="H43" s="88"/>
      <c r="I43" s="85"/>
    </row>
    <row r="44" spans="2:21">
      <c r="D44" s="85"/>
      <c r="E44" s="85"/>
      <c r="F44" s="85"/>
      <c r="I44" s="85"/>
    </row>
    <row r="45" spans="2:21">
      <c r="F45" s="85"/>
    </row>
    <row r="46" spans="2:21">
      <c r="D46" s="88"/>
      <c r="E46" s="88"/>
      <c r="I46" s="88"/>
    </row>
    <row r="47" spans="2:21">
      <c r="F47" s="88"/>
    </row>
  </sheetData>
  <sheetProtection formatColumns="0" autoFilter="0" pivotTables="0"/>
  <protectedRanges>
    <protectedRange sqref="C18 B4:B5 C7:C14" name="Range1_1"/>
    <protectedRange password="CCE3" sqref="D19" name="Range3"/>
    <protectedRange password="CCE3" sqref="B24" name="Range3_2"/>
  </protectedRanges>
  <mergeCells count="3">
    <mergeCell ref="D14:E14"/>
    <mergeCell ref="D19:E19"/>
    <mergeCell ref="J19:K24"/>
  </mergeCells>
  <conditionalFormatting sqref="E15">
    <cfRule type="cellIs" dxfId="5" priority="4" operator="lessThan">
      <formula>0</formula>
    </cfRule>
    <cfRule type="cellIs" dxfId="4" priority="5" operator="greaterThan">
      <formula>0</formula>
    </cfRule>
    <cfRule type="cellIs" dxfId="3" priority="6" operator="greaterThan">
      <formula>0</formula>
    </cfRule>
  </conditionalFormatting>
  <conditionalFormatting sqref="E20">
    <cfRule type="cellIs" dxfId="2" priority="1" operator="lessThan">
      <formula>0</formula>
    </cfRule>
    <cfRule type="cellIs" dxfId="1" priority="2" operator="greaterThan">
      <formula>0</formula>
    </cfRule>
    <cfRule type="cellIs" dxfId="0" priority="3" operator="greaterThan">
      <formula>0</formula>
    </cfRule>
  </conditionalFormatting>
  <hyperlinks>
    <hyperlink ref="G28" r:id="rId1" display="https://www.doingbusinesswithlcbo.com/content/dbwl/en/basepage/home/new-supplier-agent/Pricing/HelpfulToolsandLinks.html" xr:uid="{9E943AF7-767A-4D8D-9AB8-2843E91642DC}"/>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6">
        <x14:dataValidation type="list" showInputMessage="1" showErrorMessage="1" prompt="Pick from drop-down list_x000a_" xr:uid="{4B9E08B1-A3BE-473F-800A-36E5ECBDBD20}">
          <x14:formula1>
            <xm:f>Rates!$B$142:$B$147</xm:f>
          </x14:formula1>
          <xm:sqref>G6</xm:sqref>
        </x14:dataValidation>
        <x14:dataValidation type="list" allowBlank="1" showInputMessage="1" showErrorMessage="1" xr:uid="{BBFC67CC-7B56-40AA-8055-9BCA4BF53D98}">
          <x14:formula1>
            <xm:f>Rates!$A$66:$A$71</xm:f>
          </x14:formula1>
          <xm:sqref>G4:H4</xm:sqref>
        </x14:dataValidation>
        <x14:dataValidation type="list" showInputMessage="1" showErrorMessage="1" prompt="Pick from drop-down list_x000a_" xr:uid="{0EECE525-CFF9-427F-9903-5012CE694DE0}">
          <x14:formula1>
            <xm:f>Rates!$A$94:$A$95</xm:f>
          </x14:formula1>
          <xm:sqref>G5</xm:sqref>
        </x14:dataValidation>
        <x14:dataValidation type="list" allowBlank="1" showInputMessage="1" showErrorMessage="1" xr:uid="{67C419C8-7320-4515-B3C0-C7753BAC9E57}">
          <x14:formula1>
            <xm:f>Rates!$A$70:$A$71</xm:f>
          </x14:formula1>
          <xm:sqref>C4</xm:sqref>
        </x14:dataValidation>
        <x14:dataValidation type="list" showInputMessage="1" showErrorMessage="1" prompt="Pick from drop-down list_x000a_" xr:uid="{E42B8733-2E4D-4B35-8615-287BEF8E3E75}">
          <x14:formula1>
            <xm:f>Rates!$F$94:$F$95</xm:f>
          </x14:formula1>
          <xm:sqref>C5</xm:sqref>
        </x14:dataValidation>
        <x14:dataValidation type="list" showInputMessage="1" showErrorMessage="1" prompt="Pick from drop-down list_x000a_" xr:uid="{7920241F-99AA-4F25-9E53-64E651BAD487}">
          <x14:formula1>
            <xm:f>Rates!$G$94:$G$96</xm:f>
          </x14:formula1>
          <xm:sqref>C6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B4FE-0787-45A6-A3E8-98B39C41A40E}">
  <sheetPr codeName="Sheet17"/>
  <dimension ref="A1:B14"/>
  <sheetViews>
    <sheetView workbookViewId="0"/>
  </sheetViews>
  <sheetFormatPr defaultColWidth="8.84375" defaultRowHeight="15.5"/>
  <cols>
    <col min="1" max="1" width="76" style="424" bestFit="1" customWidth="1"/>
    <col min="2" max="2" width="84.07421875" style="424" customWidth="1"/>
    <col min="3" max="16384" width="8.84375" style="424"/>
  </cols>
  <sheetData>
    <row r="1" spans="1:2">
      <c r="A1" s="429" t="s">
        <v>198</v>
      </c>
      <c r="B1" s="429"/>
    </row>
    <row r="2" spans="1:2">
      <c r="A2" s="425" t="s">
        <v>199</v>
      </c>
      <c r="B2" s="500" t="s">
        <v>200</v>
      </c>
    </row>
    <row r="3" spans="1:2">
      <c r="A3" s="425" t="s">
        <v>201</v>
      </c>
      <c r="B3" s="500" t="s">
        <v>202</v>
      </c>
    </row>
    <row r="4" spans="1:2">
      <c r="A4" s="425" t="s">
        <v>451</v>
      </c>
      <c r="B4" s="500" t="s">
        <v>203</v>
      </c>
    </row>
    <row r="5" spans="1:2">
      <c r="A5" s="425" t="s">
        <v>204</v>
      </c>
      <c r="B5" s="501" t="s">
        <v>205</v>
      </c>
    </row>
    <row r="6" spans="1:2">
      <c r="A6" s="425" t="s">
        <v>206</v>
      </c>
      <c r="B6" s="501" t="s">
        <v>207</v>
      </c>
    </row>
    <row r="7" spans="1:2">
      <c r="A7" s="426" t="s">
        <v>453</v>
      </c>
      <c r="B7" s="506" t="s">
        <v>454</v>
      </c>
    </row>
    <row r="8" spans="1:2">
      <c r="A8" s="427" t="s">
        <v>208</v>
      </c>
      <c r="B8" s="502" t="s">
        <v>209</v>
      </c>
    </row>
    <row r="9" spans="1:2">
      <c r="A9" s="427" t="s">
        <v>452</v>
      </c>
      <c r="B9" s="503" t="s">
        <v>452</v>
      </c>
    </row>
    <row r="10" spans="1:2">
      <c r="A10" s="428" t="s">
        <v>282</v>
      </c>
      <c r="B10" s="504" t="s">
        <v>8</v>
      </c>
    </row>
    <row r="11" spans="1:2">
      <c r="A11" s="427" t="s">
        <v>210</v>
      </c>
      <c r="B11" s="428"/>
    </row>
    <row r="12" spans="1:2">
      <c r="A12" s="427" t="s">
        <v>287</v>
      </c>
      <c r="B12" s="505" t="s">
        <v>286</v>
      </c>
    </row>
    <row r="13" spans="1:2">
      <c r="A13" s="427" t="s">
        <v>307</v>
      </c>
      <c r="B13" s="505" t="s">
        <v>306</v>
      </c>
    </row>
    <row r="14" spans="1:2">
      <c r="A14" s="427" t="s">
        <v>308</v>
      </c>
      <c r="B14" s="505" t="s">
        <v>309</v>
      </c>
    </row>
  </sheetData>
  <hyperlinks>
    <hyperlink ref="B3" r:id="rId1" xr:uid="{40BEF9F6-5C3B-46A6-9A33-F29AA5C4D0BF}"/>
    <hyperlink ref="B4" r:id="rId2" xr:uid="{C2BF9DF9-CFCD-472B-9547-B1489A1EA32A}"/>
    <hyperlink ref="B8" r:id="rId3" xr:uid="{486D3BA3-3E04-4014-8688-DBCD4D252F6A}"/>
    <hyperlink ref="B5" r:id="rId4" xr:uid="{4DF90585-8306-429F-9944-2E3F57FCBDD1}"/>
    <hyperlink ref="B2" r:id="rId5" xr:uid="{C9D019F9-24BE-4B3D-99D0-2A369439FE2A}"/>
    <hyperlink ref="B7" r:id="rId6" xr:uid="{593D0E82-5D88-4A8E-943F-E8A151C94952}"/>
    <hyperlink ref="B6" r:id="rId7" xr:uid="{8B058A0E-28A0-454E-A967-A0EF362A518A}"/>
    <hyperlink ref="B10" r:id="rId8" display="https://www.doingbusinesswithlcbo.com/content/dbwl/en/basepage/home/new-supplier-agent/Pricing/HelpfulToolsandLinks.html" xr:uid="{6DD88841-D63A-4F48-B774-6380455CC2C0}"/>
    <hyperlink ref="B12" r:id="rId9" display="https://www.doingbusinesswithlcbo.com/content/dbwl/en/basepage/home/updates/ExciseCOSDEffectiveApril12021.html" xr:uid="{4A5CC648-7858-4252-9395-4BC9ACEAA3B7}"/>
    <hyperlink ref="B13" r:id="rId10" xr:uid="{C260BC3F-3DC8-47CC-87B5-872EEC25DCD3}"/>
    <hyperlink ref="B9" r:id="rId11" xr:uid="{7C05E7F2-3D80-4F3F-82EA-BA564C8C48DF}"/>
  </hyperlinks>
  <pageMargins left="0.7" right="0.7" top="0.75" bottom="0.75" header="0.3" footer="0.3"/>
  <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8B6CD-7CF2-40BB-8292-C95CDB7EFD27}">
  <sheetPr codeName="Sheet5">
    <tabColor rgb="FFFF0000"/>
  </sheetPr>
  <dimension ref="A1:O450"/>
  <sheetViews>
    <sheetView topLeftCell="B355" zoomScale="85" zoomScaleNormal="85" workbookViewId="0">
      <selection activeCell="I376" sqref="I376:I378"/>
    </sheetView>
  </sheetViews>
  <sheetFormatPr defaultRowHeight="15.5"/>
  <cols>
    <col min="1" max="1" width="43.4609375" customWidth="1"/>
    <col min="2" max="2" width="25.84375" bestFit="1" customWidth="1"/>
    <col min="3" max="3" width="17.07421875" customWidth="1"/>
    <col min="4" max="4" width="16.23046875" bestFit="1" customWidth="1"/>
    <col min="5" max="5" width="13.3046875" customWidth="1"/>
    <col min="6" max="6" width="26.3046875" style="224" bestFit="1" customWidth="1"/>
    <col min="7" max="7" width="10.84375" style="224" customWidth="1"/>
    <col min="8" max="8" width="20.53515625" style="224" customWidth="1"/>
    <col min="9" max="9" width="33" style="224" bestFit="1" customWidth="1"/>
    <col min="10" max="10" width="8.765625" style="225" bestFit="1" customWidth="1"/>
    <col min="11" max="12" width="6.84375" bestFit="1" customWidth="1"/>
    <col min="13" max="13" width="26.07421875" style="510" bestFit="1" customWidth="1"/>
    <col min="14" max="14" width="27.23046875" style="510" customWidth="1"/>
    <col min="15" max="15" width="13" style="510" customWidth="1"/>
  </cols>
  <sheetData>
    <row r="1" spans="1:15" ht="16" thickBot="1">
      <c r="M1" s="564" t="s">
        <v>485</v>
      </c>
      <c r="N1" s="564"/>
      <c r="O1" s="564"/>
    </row>
    <row r="2" spans="1:15" ht="21" thickBot="1">
      <c r="A2" s="180" t="s">
        <v>111</v>
      </c>
      <c r="B2" s="210" t="s">
        <v>333</v>
      </c>
      <c r="C2" s="211" t="s">
        <v>112</v>
      </c>
      <c r="M2" s="565"/>
      <c r="N2" s="565"/>
      <c r="O2" s="565"/>
    </row>
    <row r="3" spans="1:15" ht="21" thickBot="1">
      <c r="A3" s="206" t="s">
        <v>113</v>
      </c>
      <c r="C3" s="267">
        <v>0.74109999999999998</v>
      </c>
      <c r="E3" s="69" t="s">
        <v>114</v>
      </c>
      <c r="M3" s="568" t="s">
        <v>455</v>
      </c>
      <c r="N3" s="569"/>
      <c r="O3" s="511" t="s">
        <v>456</v>
      </c>
    </row>
    <row r="4" spans="1:15" ht="16" thickBot="1">
      <c r="A4" s="206" t="s">
        <v>115</v>
      </c>
      <c r="C4" s="268">
        <v>0.2006</v>
      </c>
      <c r="E4" s="172" t="s">
        <v>116</v>
      </c>
      <c r="F4" s="226">
        <v>2.8159999999999998</v>
      </c>
      <c r="L4" t="s">
        <v>2</v>
      </c>
      <c r="M4" s="570" t="s">
        <v>457</v>
      </c>
      <c r="N4" s="512" t="s">
        <v>458</v>
      </c>
      <c r="O4" s="513" t="s">
        <v>459</v>
      </c>
    </row>
    <row r="5" spans="1:15" ht="16" thickBot="1">
      <c r="A5" s="212" t="s">
        <v>117</v>
      </c>
      <c r="B5" s="37"/>
      <c r="C5" s="268">
        <v>0.1245</v>
      </c>
      <c r="E5" s="173" t="s">
        <v>118</v>
      </c>
      <c r="F5" s="227">
        <v>67.900000000000006</v>
      </c>
      <c r="L5" t="s">
        <v>486</v>
      </c>
      <c r="M5" s="571"/>
      <c r="N5" s="512" t="s">
        <v>460</v>
      </c>
      <c r="O5" s="513" t="s">
        <v>461</v>
      </c>
    </row>
    <row r="6" spans="1:15" ht="21" thickBot="1">
      <c r="A6" s="69"/>
      <c r="E6" s="173" t="s">
        <v>119</v>
      </c>
      <c r="F6" s="228">
        <v>0.28999999999999998</v>
      </c>
      <c r="L6" t="s">
        <v>132</v>
      </c>
      <c r="M6" s="572"/>
      <c r="N6" s="512" t="s">
        <v>462</v>
      </c>
      <c r="O6" s="513" t="s">
        <v>463</v>
      </c>
    </row>
    <row r="7" spans="1:15" ht="21" thickBot="1">
      <c r="A7" s="197" t="s">
        <v>68</v>
      </c>
      <c r="B7" s="208">
        <v>0.17599999999999999</v>
      </c>
      <c r="C7" s="209"/>
      <c r="E7" s="173" t="s">
        <v>120</v>
      </c>
      <c r="F7" s="228">
        <v>0.04</v>
      </c>
      <c r="J7" s="224"/>
      <c r="L7" t="s">
        <v>487</v>
      </c>
      <c r="M7" s="570" t="s">
        <v>464</v>
      </c>
      <c r="N7" s="512" t="s">
        <v>458</v>
      </c>
      <c r="O7" s="513" t="s">
        <v>465</v>
      </c>
    </row>
    <row r="8" spans="1:15" ht="21" thickBot="1">
      <c r="A8" s="69"/>
      <c r="J8" s="224"/>
      <c r="L8" t="s">
        <v>114</v>
      </c>
      <c r="M8" s="571"/>
      <c r="N8" s="512" t="s">
        <v>460</v>
      </c>
      <c r="O8" s="513" t="s">
        <v>466</v>
      </c>
    </row>
    <row r="9" spans="1:15" ht="21" thickBot="1">
      <c r="A9" s="180" t="s">
        <v>341</v>
      </c>
      <c r="B9" s="205"/>
      <c r="C9" s="181"/>
      <c r="M9" s="572"/>
      <c r="N9" s="512" t="s">
        <v>462</v>
      </c>
      <c r="O9" s="513" t="s">
        <v>467</v>
      </c>
    </row>
    <row r="10" spans="1:15" ht="17" thickBot="1">
      <c r="A10" s="182" t="s">
        <v>121</v>
      </c>
      <c r="C10" s="175"/>
      <c r="J10" s="224"/>
      <c r="M10" s="570" t="s">
        <v>468</v>
      </c>
      <c r="N10" s="512" t="s">
        <v>458</v>
      </c>
      <c r="O10" s="513" t="s">
        <v>469</v>
      </c>
    </row>
    <row r="11" spans="1:15" ht="16" thickBot="1">
      <c r="A11" s="186" t="s">
        <v>62</v>
      </c>
      <c r="B11">
        <v>0.1988</v>
      </c>
      <c r="C11" s="175" t="s">
        <v>122</v>
      </c>
      <c r="M11" s="571"/>
      <c r="N11" s="512" t="s">
        <v>460</v>
      </c>
      <c r="O11" s="513" t="s">
        <v>470</v>
      </c>
    </row>
    <row r="12" spans="1:15" ht="16" thickBot="1">
      <c r="A12" s="186" t="s">
        <v>77</v>
      </c>
      <c r="B12">
        <v>0.89739999999999998</v>
      </c>
      <c r="C12" s="175" t="s">
        <v>123</v>
      </c>
      <c r="M12" s="572"/>
      <c r="N12" s="512" t="s">
        <v>462</v>
      </c>
      <c r="O12" s="513" t="s">
        <v>471</v>
      </c>
    </row>
    <row r="13" spans="1:15" ht="17" thickBot="1">
      <c r="A13" s="182" t="s">
        <v>124</v>
      </c>
      <c r="C13" s="175"/>
      <c r="M13" s="570" t="s">
        <v>472</v>
      </c>
      <c r="N13" s="512" t="s">
        <v>458</v>
      </c>
      <c r="O13" s="513" t="s">
        <v>473</v>
      </c>
    </row>
    <row r="14" spans="1:15" ht="16" thickBot="1">
      <c r="A14" s="186" t="s">
        <v>62</v>
      </c>
      <c r="B14">
        <v>0.17979999999999999</v>
      </c>
      <c r="C14" s="175" t="s">
        <v>122</v>
      </c>
      <c r="M14" s="571"/>
      <c r="N14" s="512" t="s">
        <v>460</v>
      </c>
      <c r="O14" s="513" t="s">
        <v>474</v>
      </c>
    </row>
    <row r="15" spans="1:15" ht="16" thickBot="1">
      <c r="A15" s="191" t="s">
        <v>77</v>
      </c>
      <c r="B15" s="37">
        <v>0.72450000000000003</v>
      </c>
      <c r="C15" s="38" t="s">
        <v>123</v>
      </c>
      <c r="H15" s="224">
        <f>'Cooler RTD Cider'!C4</f>
        <v>0</v>
      </c>
      <c r="M15" s="572"/>
      <c r="N15" s="512" t="s">
        <v>462</v>
      </c>
      <c r="O15" s="513" t="s">
        <v>475</v>
      </c>
    </row>
    <row r="16" spans="1:15" ht="16" thickBot="1">
      <c r="A16" s="71"/>
      <c r="B16" s="126"/>
      <c r="H16">
        <f>'Cooler RTD Cider'!C13</f>
        <v>0</v>
      </c>
      <c r="M16" s="570" t="s">
        <v>476</v>
      </c>
      <c r="N16" s="512" t="s">
        <v>477</v>
      </c>
      <c r="O16" s="513" t="s">
        <v>478</v>
      </c>
    </row>
    <row r="17" spans="1:15" ht="21" thickBot="1">
      <c r="A17" s="180" t="s">
        <v>30</v>
      </c>
      <c r="B17" s="463" t="s">
        <v>335</v>
      </c>
      <c r="C17" s="181"/>
      <c r="E17" s="566" t="s">
        <v>125</v>
      </c>
      <c r="F17" s="567"/>
      <c r="G17" s="224" t="s">
        <v>98</v>
      </c>
      <c r="M17" s="571"/>
      <c r="N17" s="512" t="s">
        <v>479</v>
      </c>
      <c r="O17" s="513" t="s">
        <v>480</v>
      </c>
    </row>
    <row r="18" spans="1:15" ht="17" thickBot="1">
      <c r="A18" s="182" t="s">
        <v>2</v>
      </c>
      <c r="C18" s="175"/>
      <c r="E18" s="472" t="s">
        <v>344</v>
      </c>
      <c r="F18" s="229">
        <f>IF(AND('Cooler RTD Cider'!C13&lt;=7%),B27,B28)</f>
        <v>0.35099999999999998</v>
      </c>
      <c r="G18" s="224">
        <v>0</v>
      </c>
      <c r="J18" s="224"/>
      <c r="M18" s="571"/>
      <c r="N18" s="512" t="s">
        <v>481</v>
      </c>
      <c r="O18" s="513" t="s">
        <v>482</v>
      </c>
    </row>
    <row r="19" spans="1:15">
      <c r="A19" s="206" t="s">
        <v>126</v>
      </c>
      <c r="B19" s="464" t="s">
        <v>334</v>
      </c>
      <c r="C19" s="478" t="s">
        <v>112</v>
      </c>
      <c r="E19" s="176" t="s">
        <v>342</v>
      </c>
      <c r="F19" s="229">
        <f>IF(AND(E19=H15,H16&lt;=7%),B27,B28)</f>
        <v>13.84</v>
      </c>
      <c r="G19" s="224">
        <v>0</v>
      </c>
      <c r="H19" s="186"/>
      <c r="M19" s="573"/>
      <c r="N19" s="514" t="s">
        <v>483</v>
      </c>
      <c r="O19" s="515" t="s">
        <v>484</v>
      </c>
    </row>
    <row r="20" spans="1:15">
      <c r="A20" s="186" t="s">
        <v>127</v>
      </c>
      <c r="B20" s="465"/>
      <c r="C20" s="479">
        <v>2.1999999999999999E-2</v>
      </c>
      <c r="E20" s="472" t="s">
        <v>343</v>
      </c>
      <c r="F20" s="229">
        <f>IF(('Cooler RTD Cider'!C6="Domestic"),0,IF(AND('Cooler RTD Cider'!C13&lt;=7%),Rates!C22,Rates!C23))</f>
        <v>0.35099999999999998</v>
      </c>
      <c r="G20" s="224">
        <v>0</v>
      </c>
      <c r="H20" s="186"/>
    </row>
    <row r="21" spans="1:15">
      <c r="A21" s="186"/>
      <c r="B21" s="465"/>
      <c r="C21" s="479"/>
      <c r="E21" s="472" t="s">
        <v>336</v>
      </c>
      <c r="F21" s="229">
        <f>C23</f>
        <v>0.73</v>
      </c>
      <c r="G21" s="224">
        <v>0</v>
      </c>
      <c r="H21" s="186"/>
    </row>
    <row r="22" spans="1:15">
      <c r="A22" s="186" t="s">
        <v>128</v>
      </c>
      <c r="B22" s="465"/>
      <c r="C22" s="479">
        <v>0.35099999999999998</v>
      </c>
      <c r="E22" s="176" t="s">
        <v>59</v>
      </c>
      <c r="F22" s="229">
        <f>IF(('Cooler RTD Cider'!C6="Domestic"),0,IF(AND('Cooler RTD Cider'!C13&lt;=7%),Rates!C22,Rates!C23))</f>
        <v>0.35099999999999998</v>
      </c>
      <c r="G22" s="224">
        <v>0</v>
      </c>
      <c r="H22" s="186"/>
    </row>
    <row r="23" spans="1:15">
      <c r="A23" s="186" t="s">
        <v>129</v>
      </c>
      <c r="B23" s="465"/>
      <c r="C23" s="479">
        <v>0.73</v>
      </c>
      <c r="E23" s="176" t="s">
        <v>130</v>
      </c>
      <c r="F23" s="229">
        <f>IF(('Cooler RTD Cider'!C6="Domestic"),0,IF(AND('Cooler RTD Cider'!C13&lt;=7%),Rates!C22,Rates!C23))</f>
        <v>0.35099999999999998</v>
      </c>
      <c r="G23" s="224">
        <v>0</v>
      </c>
    </row>
    <row r="24" spans="1:15">
      <c r="A24" s="207"/>
      <c r="B24" s="465"/>
      <c r="C24" s="466"/>
      <c r="E24" s="176" t="s">
        <v>131</v>
      </c>
      <c r="F24" s="229">
        <f>IF(AND(Spirits!C13&lt;=7%),B27,B28)</f>
        <v>0.35099999999999998</v>
      </c>
      <c r="G24" s="224">
        <v>0</v>
      </c>
    </row>
    <row r="25" spans="1:15" ht="16.5">
      <c r="A25" s="182" t="s">
        <v>132</v>
      </c>
      <c r="B25" s="465"/>
      <c r="C25" s="466"/>
      <c r="E25" s="176" t="s">
        <v>133</v>
      </c>
      <c r="F25" s="229">
        <f>IF(AND(Spirits!C13&lt;=7%),B27,B28)</f>
        <v>0.35099999999999998</v>
      </c>
      <c r="G25" s="224">
        <v>0</v>
      </c>
    </row>
    <row r="26" spans="1:15">
      <c r="A26" s="206" t="s">
        <v>126</v>
      </c>
      <c r="B26" s="464" t="s">
        <v>334</v>
      </c>
      <c r="C26" s="467" t="s">
        <v>112</v>
      </c>
      <c r="E26" s="176" t="s">
        <v>51</v>
      </c>
      <c r="F26" s="229">
        <f>IF(AND(Spirits!C13&lt;=7%),B27,B28)</f>
        <v>0.35099999999999998</v>
      </c>
      <c r="G26" s="224">
        <v>0</v>
      </c>
    </row>
    <row r="27" spans="1:15" ht="16" thickBot="1">
      <c r="A27" s="186" t="s">
        <v>134</v>
      </c>
      <c r="B27" s="465">
        <v>0.35099999999999998</v>
      </c>
      <c r="C27" s="468"/>
      <c r="E27" s="177" t="s">
        <v>135</v>
      </c>
      <c r="F27" s="230">
        <f>IF(AND(Spirits!C13&lt;=7%),B27,B28)</f>
        <v>0.35099999999999998</v>
      </c>
      <c r="G27" s="224">
        <v>0</v>
      </c>
    </row>
    <row r="28" spans="1:15">
      <c r="A28" s="186" t="s">
        <v>136</v>
      </c>
      <c r="B28" s="465">
        <v>13.84</v>
      </c>
      <c r="C28" s="468"/>
    </row>
    <row r="29" spans="1:15">
      <c r="A29" s="186" t="s">
        <v>450</v>
      </c>
      <c r="B29" s="465">
        <v>0</v>
      </c>
      <c r="C29" s="468"/>
    </row>
    <row r="30" spans="1:15">
      <c r="B30" s="465"/>
      <c r="C30" s="468"/>
    </row>
    <row r="31" spans="1:15" ht="16.5">
      <c r="A31" s="182" t="s">
        <v>114</v>
      </c>
      <c r="B31" s="465"/>
      <c r="C31" s="468"/>
    </row>
    <row r="32" spans="1:15">
      <c r="A32" s="186" t="s">
        <v>108</v>
      </c>
      <c r="B32" s="465">
        <v>0</v>
      </c>
      <c r="C32" s="468"/>
    </row>
    <row r="33" spans="1:3">
      <c r="A33" s="186" t="s">
        <v>137</v>
      </c>
      <c r="B33" s="462">
        <v>0.12280000000000001</v>
      </c>
      <c r="C33" s="468"/>
    </row>
    <row r="34" spans="1:3">
      <c r="A34" s="186"/>
      <c r="B34" s="469"/>
      <c r="C34" s="468"/>
    </row>
    <row r="35" spans="1:3" ht="16.5">
      <c r="A35" s="182" t="s">
        <v>114</v>
      </c>
      <c r="B35" s="465"/>
      <c r="C35" s="466"/>
    </row>
    <row r="36" spans="1:3">
      <c r="A36" s="206" t="s">
        <v>138</v>
      </c>
      <c r="B36" s="464" t="s">
        <v>334</v>
      </c>
      <c r="C36" s="467"/>
    </row>
    <row r="37" spans="1:3">
      <c r="A37" s="186" t="s">
        <v>139</v>
      </c>
      <c r="B37" s="465">
        <v>3.0670000000000002</v>
      </c>
      <c r="C37" s="468"/>
    </row>
    <row r="38" spans="1:3">
      <c r="A38" s="186" t="s">
        <v>140</v>
      </c>
      <c r="B38" s="465">
        <v>18.48</v>
      </c>
      <c r="C38" s="468"/>
    </row>
    <row r="39" spans="1:3" ht="16" thickBot="1">
      <c r="A39" s="191" t="s">
        <v>141</v>
      </c>
      <c r="B39" s="470">
        <v>36.950000000000003</v>
      </c>
      <c r="C39" s="471"/>
    </row>
    <row r="40" spans="1:3">
      <c r="A40" s="71"/>
      <c r="B40" s="126"/>
      <c r="C40" s="72"/>
    </row>
    <row r="41" spans="1:3" ht="16" thickBot="1">
      <c r="A41" s="71"/>
      <c r="B41" s="126"/>
      <c r="C41" s="72"/>
    </row>
    <row r="42" spans="1:3" ht="20.5">
      <c r="A42" s="180" t="s">
        <v>33</v>
      </c>
      <c r="B42" s="181"/>
    </row>
    <row r="43" spans="1:3" ht="16.5">
      <c r="A43" s="182" t="s">
        <v>142</v>
      </c>
      <c r="B43" s="203"/>
    </row>
    <row r="44" spans="1:3">
      <c r="A44" s="186" t="s">
        <v>349</v>
      </c>
      <c r="B44" s="203">
        <v>1.62</v>
      </c>
    </row>
    <row r="45" spans="1:3">
      <c r="A45" s="186" t="s">
        <v>348</v>
      </c>
      <c r="B45" s="203">
        <v>1.62</v>
      </c>
    </row>
    <row r="46" spans="1:3">
      <c r="A46" s="186" t="s">
        <v>143</v>
      </c>
      <c r="B46" s="203">
        <v>1.62</v>
      </c>
    </row>
    <row r="47" spans="1:3">
      <c r="A47" s="186" t="s">
        <v>144</v>
      </c>
      <c r="B47" s="203">
        <v>1.62</v>
      </c>
    </row>
    <row r="48" spans="1:3">
      <c r="A48" s="186" t="s">
        <v>145</v>
      </c>
      <c r="B48" s="203">
        <v>1.62</v>
      </c>
    </row>
    <row r="49" spans="1:3">
      <c r="A49" s="186" t="s">
        <v>146</v>
      </c>
      <c r="B49" s="203">
        <v>1.62</v>
      </c>
    </row>
    <row r="50" spans="1:3" ht="16" thickBot="1">
      <c r="A50" s="186" t="s">
        <v>347</v>
      </c>
      <c r="B50" s="204">
        <v>0</v>
      </c>
    </row>
    <row r="51" spans="1:3" ht="16" thickBot="1"/>
    <row r="52" spans="1:3" ht="20.5">
      <c r="A52" s="180" t="s">
        <v>36</v>
      </c>
      <c r="B52" s="202"/>
    </row>
    <row r="53" spans="1:3">
      <c r="A53" s="186" t="s">
        <v>2</v>
      </c>
      <c r="B53" s="203">
        <v>0.28999999999999998</v>
      </c>
    </row>
    <row r="54" spans="1:3">
      <c r="A54" s="186" t="s">
        <v>132</v>
      </c>
      <c r="B54" s="203">
        <v>0.38</v>
      </c>
    </row>
    <row r="55" spans="1:3" ht="16" thickBot="1">
      <c r="A55" s="191" t="s">
        <v>147</v>
      </c>
      <c r="B55" s="204">
        <v>0.28000000000000003</v>
      </c>
    </row>
    <row r="56" spans="1:3" ht="16" thickBot="1"/>
    <row r="57" spans="1:3" ht="20.5">
      <c r="A57" s="180" t="s">
        <v>340</v>
      </c>
      <c r="B57" s="181"/>
    </row>
    <row r="58" spans="1:3">
      <c r="A58" s="186" t="s">
        <v>349</v>
      </c>
      <c r="B58" s="200">
        <v>0.71499999999999997</v>
      </c>
    </row>
    <row r="59" spans="1:3">
      <c r="A59" s="186" t="s">
        <v>348</v>
      </c>
      <c r="B59" s="200">
        <v>0.64600000000000002</v>
      </c>
      <c r="C59" t="s">
        <v>339</v>
      </c>
    </row>
    <row r="60" spans="1:3">
      <c r="A60" s="186" t="s">
        <v>143</v>
      </c>
      <c r="B60" s="200">
        <v>0.69299999999999995</v>
      </c>
    </row>
    <row r="61" spans="1:3">
      <c r="A61" s="186" t="s">
        <v>144</v>
      </c>
      <c r="B61" s="200">
        <v>1.1399999999999999</v>
      </c>
    </row>
    <row r="62" spans="1:3">
      <c r="A62" s="186" t="s">
        <v>145</v>
      </c>
      <c r="B62" s="200">
        <v>0.71499999999999997</v>
      </c>
    </row>
    <row r="63" spans="1:3">
      <c r="A63" s="186" t="s">
        <v>146</v>
      </c>
      <c r="B63" s="200">
        <v>0.71499999999999997</v>
      </c>
    </row>
    <row r="64" spans="1:3">
      <c r="A64" s="186" t="s">
        <v>347</v>
      </c>
      <c r="B64" s="200">
        <v>1.1399999999999999</v>
      </c>
    </row>
    <row r="65" spans="1:5">
      <c r="A65" s="186" t="s">
        <v>132</v>
      </c>
      <c r="B65" s="200">
        <v>1.3969999999999998</v>
      </c>
    </row>
    <row r="66" spans="1:5">
      <c r="A66" s="186" t="s">
        <v>344</v>
      </c>
      <c r="B66" s="200">
        <v>0.96699999999999997</v>
      </c>
    </row>
    <row r="67" spans="1:5">
      <c r="A67" s="186" t="s">
        <v>342</v>
      </c>
      <c r="B67" s="200">
        <v>0.48</v>
      </c>
    </row>
    <row r="68" spans="1:5">
      <c r="A68" s="186" t="s">
        <v>343</v>
      </c>
      <c r="B68" s="200">
        <v>0.48</v>
      </c>
      <c r="C68" t="s">
        <v>337</v>
      </c>
      <c r="E68" t="s">
        <v>346</v>
      </c>
    </row>
    <row r="69" spans="1:5">
      <c r="A69" s="186" t="s">
        <v>336</v>
      </c>
      <c r="B69" s="200">
        <v>0.60599999999999998</v>
      </c>
      <c r="C69" t="s">
        <v>345</v>
      </c>
    </row>
    <row r="70" spans="1:5">
      <c r="A70" s="186" t="s">
        <v>59</v>
      </c>
      <c r="B70" s="200">
        <v>0.32</v>
      </c>
      <c r="C70" t="s">
        <v>338</v>
      </c>
    </row>
    <row r="71" spans="1:5">
      <c r="A71" s="186" t="s">
        <v>130</v>
      </c>
      <c r="B71" s="200">
        <v>0.32</v>
      </c>
    </row>
    <row r="72" spans="1:5">
      <c r="A72" s="186" t="s">
        <v>131</v>
      </c>
      <c r="B72" s="200">
        <v>1.397</v>
      </c>
    </row>
    <row r="73" spans="1:5">
      <c r="A73" s="186" t="s">
        <v>133</v>
      </c>
      <c r="B73" s="200">
        <v>1.397</v>
      </c>
    </row>
    <row r="74" spans="1:5">
      <c r="A74" s="186" t="s">
        <v>51</v>
      </c>
      <c r="B74" s="200">
        <v>1.397</v>
      </c>
    </row>
    <row r="75" spans="1:5" ht="16" thickBot="1">
      <c r="A75" s="191" t="s">
        <v>178</v>
      </c>
      <c r="B75" s="201">
        <v>1.397</v>
      </c>
    </row>
    <row r="76" spans="1:5" ht="16" thickBot="1">
      <c r="A76" s="71"/>
      <c r="B76" s="74"/>
    </row>
    <row r="77" spans="1:5" ht="21" thickBot="1">
      <c r="A77" s="197" t="s">
        <v>19</v>
      </c>
      <c r="B77" s="199">
        <v>8.9300000000000004E-2</v>
      </c>
    </row>
    <row r="78" spans="1:5" ht="16" thickBot="1"/>
    <row r="79" spans="1:5" ht="21" thickBot="1">
      <c r="A79" s="197" t="s">
        <v>21</v>
      </c>
      <c r="B79" s="198">
        <v>0.13</v>
      </c>
    </row>
    <row r="80" spans="1:5" ht="16" thickBot="1"/>
    <row r="81" spans="1:7" ht="20.5">
      <c r="A81" s="180" t="s">
        <v>42</v>
      </c>
      <c r="B81" s="181"/>
    </row>
    <row r="82" spans="1:7">
      <c r="A82" s="186" t="s">
        <v>148</v>
      </c>
      <c r="B82" s="195">
        <v>0</v>
      </c>
    </row>
    <row r="83" spans="1:7">
      <c r="A83" s="186" t="s">
        <v>149</v>
      </c>
      <c r="B83" s="195">
        <v>0.1</v>
      </c>
    </row>
    <row r="84" spans="1:7">
      <c r="A84" s="186" t="s">
        <v>150</v>
      </c>
      <c r="B84" s="195">
        <v>0.2</v>
      </c>
    </row>
    <row r="85" spans="1:7">
      <c r="A85" s="186" t="s">
        <v>151</v>
      </c>
      <c r="B85" s="195">
        <v>0.1</v>
      </c>
    </row>
    <row r="86" spans="1:7">
      <c r="A86" s="186" t="s">
        <v>152</v>
      </c>
      <c r="B86" s="195">
        <v>0.2</v>
      </c>
    </row>
    <row r="87" spans="1:7" ht="16" thickBot="1">
      <c r="A87" s="191" t="s">
        <v>153</v>
      </c>
      <c r="B87" s="196">
        <v>20</v>
      </c>
    </row>
    <row r="88" spans="1:7" ht="16" thickBot="1"/>
    <row r="89" spans="1:7" ht="20.5">
      <c r="A89" s="180" t="s">
        <v>154</v>
      </c>
      <c r="B89" s="181"/>
    </row>
    <row r="90" spans="1:7">
      <c r="A90" s="186" t="s">
        <v>84</v>
      </c>
      <c r="B90" s="190">
        <v>0</v>
      </c>
    </row>
    <row r="91" spans="1:7" ht="16" thickBot="1">
      <c r="A91" s="191" t="s">
        <v>155</v>
      </c>
      <c r="B91" s="192">
        <v>0.1</v>
      </c>
    </row>
    <row r="92" spans="1:7" ht="16" thickBot="1"/>
    <row r="93" spans="1:7" ht="21" thickBot="1">
      <c r="A93" s="180" t="s">
        <v>5</v>
      </c>
      <c r="B93" s="193" t="s">
        <v>61</v>
      </c>
      <c r="C93" s="193" t="s">
        <v>64</v>
      </c>
      <c r="D93" s="193" t="s">
        <v>156</v>
      </c>
      <c r="E93" s="194" t="s">
        <v>157</v>
      </c>
      <c r="F93" s="439" t="s">
        <v>310</v>
      </c>
      <c r="G93" s="439" t="s">
        <v>321</v>
      </c>
    </row>
    <row r="94" spans="1:7">
      <c r="A94" s="186" t="s">
        <v>6</v>
      </c>
      <c r="B94" t="s">
        <v>62</v>
      </c>
      <c r="C94" t="s">
        <v>82</v>
      </c>
      <c r="D94" t="s">
        <v>158</v>
      </c>
      <c r="E94" s="175" t="s">
        <v>81</v>
      </c>
      <c r="F94" s="444" t="s">
        <v>80</v>
      </c>
      <c r="G94" s="445" t="s">
        <v>98</v>
      </c>
    </row>
    <row r="95" spans="1:7" ht="16" thickBot="1">
      <c r="A95" s="191" t="s">
        <v>60</v>
      </c>
      <c r="B95" s="37" t="s">
        <v>77</v>
      </c>
      <c r="C95" s="37" t="s">
        <v>65</v>
      </c>
      <c r="D95" s="37" t="s">
        <v>79</v>
      </c>
      <c r="E95" s="38" t="s">
        <v>110</v>
      </c>
      <c r="F95" s="37" t="s">
        <v>311</v>
      </c>
      <c r="G95" s="446" t="s">
        <v>322</v>
      </c>
    </row>
    <row r="96" spans="1:7" ht="16" thickBot="1">
      <c r="B96" s="73"/>
      <c r="D96" s="73"/>
      <c r="E96" s="73"/>
      <c r="F96" s="73"/>
      <c r="G96" s="447" t="s">
        <v>53</v>
      </c>
    </row>
    <row r="97" spans="1:6" ht="20.5">
      <c r="A97" s="180" t="s">
        <v>29</v>
      </c>
      <c r="B97" s="181"/>
      <c r="C97" s="73"/>
      <c r="D97" s="73"/>
      <c r="E97" s="73"/>
      <c r="F97" s="73"/>
    </row>
    <row r="98" spans="1:6" ht="16.5">
      <c r="A98" s="182" t="s">
        <v>159</v>
      </c>
      <c r="B98" s="183"/>
      <c r="C98" s="73"/>
      <c r="D98" s="73"/>
      <c r="E98" s="73"/>
      <c r="F98" s="73"/>
    </row>
    <row r="99" spans="1:6">
      <c r="A99" s="184" t="s">
        <v>160</v>
      </c>
      <c r="B99" s="185">
        <v>1.8700000000000001E-2</v>
      </c>
      <c r="C99" s="73"/>
      <c r="D99" s="73"/>
      <c r="E99" s="73"/>
      <c r="F99" s="73"/>
    </row>
    <row r="100" spans="1:6">
      <c r="A100" s="184"/>
      <c r="B100" s="183">
        <v>2.75E-2</v>
      </c>
      <c r="C100" s="73"/>
      <c r="D100" s="73"/>
      <c r="E100" s="73"/>
      <c r="F100" s="73"/>
    </row>
    <row r="101" spans="1:6">
      <c r="A101" s="184"/>
      <c r="B101" s="183">
        <v>2.8199999999999999E-2</v>
      </c>
      <c r="C101" s="73"/>
      <c r="D101" s="73"/>
      <c r="E101" s="73"/>
      <c r="F101" s="73"/>
    </row>
    <row r="102" spans="1:6">
      <c r="A102" s="184" t="s">
        <v>161</v>
      </c>
      <c r="B102" s="185">
        <v>4.6800000000000001E-2</v>
      </c>
      <c r="C102" s="73"/>
      <c r="D102" s="73"/>
      <c r="E102" s="73"/>
      <c r="F102" s="73"/>
    </row>
    <row r="103" spans="1:6">
      <c r="A103" s="184"/>
      <c r="B103" s="183">
        <v>7.0400000000000004E-2</v>
      </c>
      <c r="C103" s="73"/>
      <c r="D103" s="73"/>
      <c r="E103" s="73"/>
      <c r="F103" s="73"/>
    </row>
    <row r="104" spans="1:6">
      <c r="A104" s="184"/>
      <c r="B104" s="183">
        <v>7.7799999999999994E-2</v>
      </c>
      <c r="C104" s="73"/>
      <c r="D104" s="73"/>
      <c r="E104" s="73"/>
      <c r="F104" s="73"/>
    </row>
    <row r="105" spans="1:6">
      <c r="A105" s="184"/>
      <c r="B105" s="183">
        <v>8.5199999999999998E-2</v>
      </c>
      <c r="C105" s="73"/>
      <c r="D105" s="73"/>
      <c r="E105" s="73"/>
      <c r="F105" s="73"/>
    </row>
    <row r="106" spans="1:6">
      <c r="A106" s="184"/>
      <c r="B106" s="183">
        <v>9.2499999999999999E-2</v>
      </c>
      <c r="C106" s="73"/>
      <c r="D106" s="73"/>
      <c r="E106" s="73"/>
      <c r="F106" s="73"/>
    </row>
    <row r="107" spans="1:6">
      <c r="A107" s="184"/>
      <c r="B107" s="183">
        <v>0.12280000000000001</v>
      </c>
      <c r="C107" s="73"/>
      <c r="D107" s="73"/>
      <c r="E107" s="73"/>
      <c r="F107" s="73"/>
    </row>
    <row r="108" spans="1:6">
      <c r="A108" s="184" t="s">
        <v>162</v>
      </c>
      <c r="B108" s="185">
        <v>0</v>
      </c>
      <c r="C108" s="73"/>
      <c r="D108" s="73"/>
      <c r="E108" s="73"/>
      <c r="F108" s="73"/>
    </row>
    <row r="109" spans="1:6" ht="16.5">
      <c r="A109" s="182" t="s">
        <v>163</v>
      </c>
      <c r="B109" s="183"/>
      <c r="C109" s="73"/>
      <c r="D109" s="73"/>
      <c r="E109" s="73"/>
      <c r="F109" s="73"/>
    </row>
    <row r="110" spans="1:6">
      <c r="A110" s="184" t="s">
        <v>164</v>
      </c>
      <c r="B110" s="183">
        <v>2.8199999999999999E-2</v>
      </c>
      <c r="C110" s="73"/>
      <c r="D110" s="73"/>
      <c r="E110" s="73"/>
      <c r="F110" s="73"/>
    </row>
    <row r="111" spans="1:6">
      <c r="A111" s="184" t="s">
        <v>165</v>
      </c>
      <c r="B111" s="183">
        <v>7.0400000000000004E-2</v>
      </c>
      <c r="C111" s="73"/>
      <c r="D111" s="73"/>
      <c r="E111" s="73"/>
      <c r="F111" s="73"/>
    </row>
    <row r="112" spans="1:6">
      <c r="A112" s="184" t="s">
        <v>166</v>
      </c>
      <c r="B112" s="183">
        <v>7.7799999999999994E-2</v>
      </c>
      <c r="C112" s="73"/>
      <c r="D112" s="73"/>
      <c r="E112" s="73"/>
      <c r="F112" s="73"/>
    </row>
    <row r="113" spans="1:6">
      <c r="A113" s="184" t="s">
        <v>167</v>
      </c>
      <c r="B113" s="183">
        <v>8.5199999999999998E-2</v>
      </c>
      <c r="C113" s="73"/>
      <c r="D113" s="73"/>
      <c r="E113" s="73"/>
      <c r="F113" s="73"/>
    </row>
    <row r="114" spans="1:6">
      <c r="A114" s="184" t="s">
        <v>168</v>
      </c>
      <c r="B114" s="183">
        <v>9.2499999999999999E-2</v>
      </c>
      <c r="C114" s="73"/>
      <c r="D114" s="73"/>
      <c r="E114" s="73"/>
      <c r="F114" s="73"/>
    </row>
    <row r="115" spans="1:6">
      <c r="A115" s="184" t="s">
        <v>169</v>
      </c>
      <c r="B115" s="183">
        <v>0.1</v>
      </c>
      <c r="C115" s="73"/>
      <c r="D115" s="73"/>
      <c r="E115" s="73"/>
      <c r="F115" s="73"/>
    </row>
    <row r="116" spans="1:6">
      <c r="A116" s="184" t="s">
        <v>170</v>
      </c>
      <c r="B116" s="183">
        <v>0.10730000000000001</v>
      </c>
      <c r="C116" s="73"/>
      <c r="D116" s="73"/>
      <c r="E116" s="73"/>
      <c r="F116" s="73"/>
    </row>
    <row r="117" spans="1:6">
      <c r="A117" s="184" t="s">
        <v>171</v>
      </c>
      <c r="B117" s="183">
        <v>0.1148</v>
      </c>
      <c r="C117" s="73"/>
      <c r="D117" s="73"/>
      <c r="E117" s="73"/>
      <c r="F117" s="73"/>
    </row>
    <row r="118" spans="1:6">
      <c r="A118" s="184" t="s">
        <v>172</v>
      </c>
      <c r="B118" s="183">
        <v>0.1221</v>
      </c>
      <c r="C118" s="73"/>
      <c r="D118" s="73"/>
      <c r="E118" s="73"/>
      <c r="F118" s="73"/>
    </row>
    <row r="119" spans="1:6">
      <c r="A119" s="184" t="s">
        <v>173</v>
      </c>
      <c r="B119" s="183">
        <v>0.1295</v>
      </c>
      <c r="C119" s="73"/>
      <c r="D119" s="73"/>
      <c r="E119" s="73"/>
      <c r="F119" s="73"/>
    </row>
    <row r="120" spans="1:6">
      <c r="A120" s="184" t="s">
        <v>174</v>
      </c>
      <c r="B120" s="183">
        <v>0.1295</v>
      </c>
      <c r="C120" s="73"/>
      <c r="D120" s="73"/>
      <c r="E120" s="73"/>
      <c r="F120" s="73"/>
    </row>
    <row r="121" spans="1:6">
      <c r="A121" s="186"/>
      <c r="B121" s="175"/>
      <c r="C121" s="73"/>
      <c r="D121" s="73"/>
      <c r="E121" s="73"/>
      <c r="F121" s="73"/>
    </row>
    <row r="122" spans="1:6" ht="16.5">
      <c r="A122" s="182" t="s">
        <v>175</v>
      </c>
      <c r="B122" s="187" t="s">
        <v>176</v>
      </c>
      <c r="C122" s="73"/>
      <c r="D122" s="73"/>
      <c r="E122" s="73"/>
      <c r="F122" s="73"/>
    </row>
    <row r="123" spans="1:6">
      <c r="A123" s="186" t="s">
        <v>98</v>
      </c>
      <c r="B123" s="183">
        <v>0</v>
      </c>
      <c r="C123" s="73"/>
      <c r="D123" s="73"/>
      <c r="E123" s="73"/>
      <c r="F123" s="73"/>
    </row>
    <row r="124" spans="1:6">
      <c r="A124" s="186" t="s">
        <v>177</v>
      </c>
      <c r="B124" s="183">
        <v>0</v>
      </c>
      <c r="C124" s="73"/>
      <c r="D124" s="73"/>
      <c r="E124" s="73"/>
      <c r="F124" s="73"/>
    </row>
    <row r="125" spans="1:6">
      <c r="A125" s="186" t="s">
        <v>133</v>
      </c>
      <c r="B125" s="175">
        <v>4.9200000000000001E-2</v>
      </c>
      <c r="C125" s="73"/>
      <c r="D125" s="73"/>
      <c r="E125" s="73"/>
      <c r="F125" s="73"/>
    </row>
    <row r="126" spans="1:6">
      <c r="A126" s="186" t="s">
        <v>178</v>
      </c>
      <c r="B126" s="175">
        <v>0.12280000000000001</v>
      </c>
      <c r="C126" s="73"/>
      <c r="D126" s="73"/>
      <c r="E126" s="73"/>
      <c r="F126" s="73"/>
    </row>
    <row r="127" spans="1:6">
      <c r="A127" s="186" t="s">
        <v>51</v>
      </c>
      <c r="B127" s="175">
        <v>0.24560000000000001</v>
      </c>
      <c r="C127" s="73"/>
      <c r="D127" s="73"/>
      <c r="E127" s="73"/>
      <c r="F127" s="73"/>
    </row>
    <row r="128" spans="1:6">
      <c r="A128" s="186" t="s">
        <v>131</v>
      </c>
      <c r="B128" s="183">
        <v>0</v>
      </c>
      <c r="C128" s="73"/>
      <c r="D128" s="73"/>
      <c r="E128" s="73"/>
      <c r="F128" s="73"/>
    </row>
    <row r="129" spans="1:15">
      <c r="A129" s="186"/>
      <c r="B129" s="183"/>
      <c r="C129" s="73"/>
      <c r="D129" s="73"/>
      <c r="E129" s="73"/>
      <c r="F129" s="73"/>
    </row>
    <row r="130" spans="1:15" ht="16.5">
      <c r="A130" s="182" t="s">
        <v>59</v>
      </c>
      <c r="B130" s="183">
        <v>0.03</v>
      </c>
      <c r="C130" s="73"/>
      <c r="D130" s="73"/>
      <c r="E130" s="73"/>
      <c r="F130" s="73"/>
    </row>
    <row r="131" spans="1:15" ht="16.5">
      <c r="A131" s="182" t="s">
        <v>130</v>
      </c>
      <c r="B131" s="183">
        <v>0.28160000000000002</v>
      </c>
      <c r="C131" s="73"/>
      <c r="D131" s="73"/>
      <c r="E131" s="73"/>
      <c r="F131" s="73"/>
    </row>
    <row r="132" spans="1:15" ht="17" thickBot="1">
      <c r="A132" s="188" t="s">
        <v>179</v>
      </c>
      <c r="B132" s="189">
        <v>0.12280000000000001</v>
      </c>
      <c r="C132" s="73"/>
      <c r="D132" s="73"/>
      <c r="E132" s="73"/>
      <c r="F132" s="73"/>
    </row>
    <row r="133" spans="1:15" ht="16.5">
      <c r="A133" s="70"/>
      <c r="B133" s="73"/>
      <c r="C133" s="73"/>
      <c r="D133" s="73"/>
      <c r="E133" s="73"/>
      <c r="F133" s="73"/>
    </row>
    <row r="134" spans="1:15" s="179" customFormat="1" ht="21" thickBot="1">
      <c r="A134" s="178" t="s">
        <v>180</v>
      </c>
      <c r="F134" s="231" t="s">
        <v>7</v>
      </c>
      <c r="G134" s="232"/>
      <c r="H134" s="232"/>
      <c r="I134" s="232"/>
      <c r="J134" s="233"/>
      <c r="M134" s="516"/>
      <c r="N134" s="516"/>
      <c r="O134" s="516"/>
    </row>
    <row r="135" spans="1:15" ht="16" thickBot="1">
      <c r="A135" s="71" t="s">
        <v>2</v>
      </c>
      <c r="B135" s="107" t="s">
        <v>98</v>
      </c>
      <c r="D135" s="108">
        <v>0</v>
      </c>
      <c r="F135" s="60" t="s">
        <v>181</v>
      </c>
      <c r="G135" s="61" t="s">
        <v>182</v>
      </c>
      <c r="H135" s="61" t="s">
        <v>183</v>
      </c>
      <c r="I135" s="61" t="s">
        <v>184</v>
      </c>
      <c r="J135" s="110" t="s">
        <v>185</v>
      </c>
    </row>
    <row r="136" spans="1:15">
      <c r="A136" s="106"/>
      <c r="B136" s="107" t="s">
        <v>186</v>
      </c>
      <c r="D136" s="108">
        <v>0.2616</v>
      </c>
      <c r="F136" s="472" t="s">
        <v>349</v>
      </c>
      <c r="G136" s="234" t="s">
        <v>60</v>
      </c>
      <c r="H136" s="234" t="s">
        <v>186</v>
      </c>
      <c r="I136" s="234" t="s">
        <v>350</v>
      </c>
      <c r="J136" s="235">
        <f>IF(Wine!C13&lt;=13.7,B99,IF(Wine!C13&lt;=14.9,B102,IF(Wine!C13&gt;14.9,0)))</f>
        <v>1.8700000000000001E-2</v>
      </c>
    </row>
    <row r="137" spans="1:15">
      <c r="A137" s="106"/>
      <c r="B137" s="107" t="s">
        <v>88</v>
      </c>
      <c r="D137" s="108">
        <v>0.379</v>
      </c>
      <c r="F137" s="236" t="s">
        <v>146</v>
      </c>
      <c r="G137" s="237" t="s">
        <v>60</v>
      </c>
      <c r="H137" s="237" t="s">
        <v>186</v>
      </c>
      <c r="I137" s="237" t="s">
        <v>211</v>
      </c>
      <c r="J137" s="238">
        <v>0</v>
      </c>
    </row>
    <row r="138" spans="1:15">
      <c r="A138" s="106"/>
      <c r="B138" s="107" t="s">
        <v>10</v>
      </c>
      <c r="D138" s="108">
        <v>0.2959</v>
      </c>
      <c r="F138" s="236" t="s">
        <v>145</v>
      </c>
      <c r="G138" s="237" t="s">
        <v>60</v>
      </c>
      <c r="H138" s="237" t="s">
        <v>186</v>
      </c>
      <c r="I138" s="237" t="s">
        <v>212</v>
      </c>
      <c r="J138" s="238">
        <f>IF(Wine!C13&lt;=13.6,B110,IF(Wine!C13&lt;=14.8,B111,IF(Wine!C13&lt;=15.8,B112,IF(Wine!C13&lt;=16.8,B113,IF(Wine!C13&lt;=17.8,B114,IF(Wine!C13&lt;=18.8,B115,IF(Wine!C13&lt;=19.8,B116,IF(Wine!C13&lt;=20.8,B117,IF(Wine!C13&lt;=21.8,B118,IF(Wine!C13&lt;=22.8,B119,IF(Wine!C13&gt;=22.9,B120)))))))))))</f>
        <v>2.8199999999999999E-2</v>
      </c>
    </row>
    <row r="139" spans="1:15">
      <c r="A139" s="106"/>
      <c r="B139" s="107" t="s">
        <v>290</v>
      </c>
      <c r="C139" t="s">
        <v>291</v>
      </c>
      <c r="D139" s="108">
        <v>0</v>
      </c>
      <c r="F139" s="472" t="s">
        <v>348</v>
      </c>
      <c r="G139" s="237" t="s">
        <v>60</v>
      </c>
      <c r="H139" s="237" t="s">
        <v>186</v>
      </c>
      <c r="I139" s="237" t="s">
        <v>351</v>
      </c>
      <c r="J139" s="238">
        <v>0</v>
      </c>
    </row>
    <row r="140" spans="1:15">
      <c r="A140" s="106"/>
      <c r="B140" s="107" t="s">
        <v>53</v>
      </c>
      <c r="D140" s="108">
        <v>0.67530000000000001</v>
      </c>
      <c r="F140" s="236" t="s">
        <v>143</v>
      </c>
      <c r="G140" s="237" t="s">
        <v>60</v>
      </c>
      <c r="H140" s="237" t="s">
        <v>186</v>
      </c>
      <c r="I140" s="237" t="s">
        <v>213</v>
      </c>
      <c r="J140" s="238">
        <v>0</v>
      </c>
    </row>
    <row r="141" spans="1:15">
      <c r="A141" s="106"/>
      <c r="B141" s="107"/>
      <c r="D141" s="108"/>
      <c r="F141" s="239" t="s">
        <v>144</v>
      </c>
      <c r="G141" s="237" t="s">
        <v>60</v>
      </c>
      <c r="H141" s="237" t="s">
        <v>186</v>
      </c>
      <c r="I141" s="237" t="s">
        <v>214</v>
      </c>
      <c r="J141" s="238">
        <v>0</v>
      </c>
    </row>
    <row r="142" spans="1:15" ht="16" thickBot="1">
      <c r="A142" s="71" t="s">
        <v>132</v>
      </c>
      <c r="B142" s="107" t="s">
        <v>98</v>
      </c>
      <c r="D142" s="108">
        <v>0</v>
      </c>
      <c r="F142" s="472" t="s">
        <v>347</v>
      </c>
      <c r="G142" s="237" t="s">
        <v>60</v>
      </c>
      <c r="H142" s="237" t="s">
        <v>186</v>
      </c>
      <c r="I142" s="237" t="s">
        <v>352</v>
      </c>
      <c r="J142" s="238">
        <v>0</v>
      </c>
    </row>
    <row r="143" spans="1:15">
      <c r="A143" s="106"/>
      <c r="B143" s="107" t="s">
        <v>186</v>
      </c>
      <c r="D143" s="108">
        <v>0.29859999999999998</v>
      </c>
      <c r="F143" s="472" t="s">
        <v>349</v>
      </c>
      <c r="G143" s="240" t="s">
        <v>60</v>
      </c>
      <c r="H143" s="240" t="s">
        <v>88</v>
      </c>
      <c r="I143" s="240" t="s">
        <v>353</v>
      </c>
      <c r="J143" s="241">
        <f>IF(Wine!C13&lt;=13.7,B99,IF(Wine!C13&lt;=14.9,B102,IF(Wine!C13&gt;14.9,0)))</f>
        <v>1.8700000000000001E-2</v>
      </c>
    </row>
    <row r="144" spans="1:15">
      <c r="A144" s="106"/>
      <c r="B144" s="107" t="s">
        <v>88</v>
      </c>
      <c r="D144" s="108">
        <v>0.56510000000000005</v>
      </c>
      <c r="F144" s="236" t="s">
        <v>146</v>
      </c>
      <c r="G144" s="240" t="s">
        <v>60</v>
      </c>
      <c r="H144" s="240" t="s">
        <v>88</v>
      </c>
      <c r="I144" s="240" t="s">
        <v>215</v>
      </c>
      <c r="J144" s="242">
        <v>0</v>
      </c>
    </row>
    <row r="145" spans="1:10">
      <c r="A145" s="106"/>
      <c r="B145" s="107" t="s">
        <v>10</v>
      </c>
      <c r="D145" s="108">
        <v>1.7479</v>
      </c>
      <c r="F145" s="236" t="s">
        <v>145</v>
      </c>
      <c r="G145" s="240" t="s">
        <v>60</v>
      </c>
      <c r="H145" s="240" t="s">
        <v>88</v>
      </c>
      <c r="I145" s="240" t="s">
        <v>216</v>
      </c>
      <c r="J145" s="242">
        <f>IF(Wine!C13&lt;=13.6,B110,IF(Wine!C13&lt;=14.8,B111,IF(Wine!C13&lt;=15.8,B112,IF(Wine!C13&lt;=16.8,B113,IF(Wine!C13&lt;=17.8,B114,IF(Wine!C13&lt;=18.8,B115,IF(Wine!C13&lt;=19.8,B116,IF(Wine!C13&lt;=20.8,B117,IF(Wine!C13&lt;=21.8,B118,IF(Wine!C13&lt;=22.8,B119,IF(Wine!C13&gt;=22.9,B120)))))))))))</f>
        <v>2.8199999999999999E-2</v>
      </c>
    </row>
    <row r="146" spans="1:10">
      <c r="A146" s="106"/>
      <c r="B146" s="107" t="s">
        <v>290</v>
      </c>
      <c r="C146" t="s">
        <v>291</v>
      </c>
      <c r="D146" s="108">
        <v>0</v>
      </c>
      <c r="F146" s="472" t="s">
        <v>348</v>
      </c>
      <c r="G146" s="240" t="s">
        <v>60</v>
      </c>
      <c r="H146" s="240" t="s">
        <v>88</v>
      </c>
      <c r="I146" s="240" t="s">
        <v>354</v>
      </c>
      <c r="J146" s="242">
        <v>0</v>
      </c>
    </row>
    <row r="147" spans="1:10">
      <c r="A147" s="106"/>
      <c r="B147" s="107" t="s">
        <v>53</v>
      </c>
      <c r="D147" s="108">
        <v>1.7479</v>
      </c>
      <c r="F147" s="236" t="s">
        <v>143</v>
      </c>
      <c r="G147" s="240" t="s">
        <v>60</v>
      </c>
      <c r="H147" s="240" t="s">
        <v>88</v>
      </c>
      <c r="I147" s="240" t="s">
        <v>217</v>
      </c>
      <c r="J147" s="242">
        <v>0</v>
      </c>
    </row>
    <row r="148" spans="1:10">
      <c r="A148" s="186" t="s">
        <v>343</v>
      </c>
      <c r="B148" s="107" t="s">
        <v>98</v>
      </c>
      <c r="C148" s="107" t="s">
        <v>428</v>
      </c>
      <c r="D148" s="109">
        <v>0</v>
      </c>
      <c r="F148" s="239" t="s">
        <v>144</v>
      </c>
      <c r="G148" s="240" t="s">
        <v>60</v>
      </c>
      <c r="H148" s="240" t="s">
        <v>88</v>
      </c>
      <c r="I148" s="240" t="s">
        <v>218</v>
      </c>
      <c r="J148" s="242">
        <v>0</v>
      </c>
    </row>
    <row r="149" spans="1:10" ht="16" thickBot="1">
      <c r="A149" s="71"/>
      <c r="B149" s="107" t="s">
        <v>186</v>
      </c>
      <c r="C149" s="107" t="s">
        <v>429</v>
      </c>
      <c r="D149" s="109">
        <v>0</v>
      </c>
      <c r="F149" s="472" t="s">
        <v>347</v>
      </c>
      <c r="G149" s="240" t="s">
        <v>60</v>
      </c>
      <c r="H149" s="240" t="s">
        <v>88</v>
      </c>
      <c r="I149" s="240" t="s">
        <v>355</v>
      </c>
      <c r="J149" s="242">
        <v>0</v>
      </c>
    </row>
    <row r="150" spans="1:10">
      <c r="A150" s="71"/>
      <c r="B150" s="107" t="s">
        <v>88</v>
      </c>
      <c r="C150" s="107" t="s">
        <v>430</v>
      </c>
      <c r="D150" s="109">
        <v>0.70279999999999998</v>
      </c>
      <c r="F150" s="472" t="s">
        <v>349</v>
      </c>
      <c r="G150" s="234" t="s">
        <v>60</v>
      </c>
      <c r="H150" s="234" t="s">
        <v>10</v>
      </c>
      <c r="I150" s="234" t="s">
        <v>356</v>
      </c>
      <c r="J150" s="235">
        <f>IF(Wine!C13&lt;=13.7,B99,IF(Wine!C13&lt;=14.9,B102,IF(Wine!C13&gt;14.9,0)))</f>
        <v>1.8700000000000001E-2</v>
      </c>
    </row>
    <row r="151" spans="1:10">
      <c r="A151" s="71"/>
      <c r="B151" s="107" t="s">
        <v>10</v>
      </c>
      <c r="C151" s="107" t="s">
        <v>431</v>
      </c>
      <c r="D151" s="109">
        <v>0.91720000000000002</v>
      </c>
      <c r="F151" s="236" t="s">
        <v>146</v>
      </c>
      <c r="G151" s="237" t="s">
        <v>60</v>
      </c>
      <c r="H151" s="237" t="s">
        <v>10</v>
      </c>
      <c r="I151" s="237" t="s">
        <v>219</v>
      </c>
      <c r="J151" s="238">
        <v>0</v>
      </c>
    </row>
    <row r="152" spans="1:10">
      <c r="A152" s="106"/>
      <c r="B152" s="107" t="s">
        <v>290</v>
      </c>
      <c r="C152" t="s">
        <v>291</v>
      </c>
      <c r="D152" s="108">
        <v>0</v>
      </c>
      <c r="F152" s="236" t="s">
        <v>145</v>
      </c>
      <c r="G152" s="237" t="s">
        <v>60</v>
      </c>
      <c r="H152" s="237" t="s">
        <v>10</v>
      </c>
      <c r="I152" s="237" t="s">
        <v>220</v>
      </c>
      <c r="J152" s="238">
        <f>IF(Wine!C13&lt;=13.6,B110,IF(Wine!C13&lt;=14.8,B111,IF(Wine!C13&lt;=15.8,B112,IF(Wine!C13&lt;=16.8,B113,IF(Wine!C13&lt;=17.8,B114,IF(Wine!C13&lt;=18.8,B115,IF(Wine!C13&lt;=19.8,B116,IF(Wine!C13&lt;=20.8,B117,IF(Wine!C13&lt;=21.8,B118,IF(Wine!C13&lt;=22.8,B119,IF(Wine!C13&gt;=22.9,B120)))))))))))</f>
        <v>2.8199999999999999E-2</v>
      </c>
    </row>
    <row r="153" spans="1:10">
      <c r="A153" s="71"/>
      <c r="B153" s="107" t="s">
        <v>53</v>
      </c>
      <c r="C153" s="107" t="s">
        <v>432</v>
      </c>
      <c r="D153" s="109">
        <v>0.91720000000000002</v>
      </c>
      <c r="F153" s="472" t="s">
        <v>348</v>
      </c>
      <c r="G153" s="237" t="s">
        <v>60</v>
      </c>
      <c r="H153" s="237" t="s">
        <v>10</v>
      </c>
      <c r="I153" s="237" t="s">
        <v>357</v>
      </c>
      <c r="J153" s="238">
        <v>0</v>
      </c>
    </row>
    <row r="154" spans="1:10">
      <c r="A154" s="71" t="s">
        <v>342</v>
      </c>
      <c r="B154" s="107" t="s">
        <v>98</v>
      </c>
      <c r="C154" s="107" t="s">
        <v>438</v>
      </c>
      <c r="D154" s="109">
        <v>0</v>
      </c>
      <c r="F154" s="236" t="s">
        <v>143</v>
      </c>
      <c r="G154" s="237" t="s">
        <v>60</v>
      </c>
      <c r="H154" s="237" t="s">
        <v>10</v>
      </c>
      <c r="I154" s="237" t="s">
        <v>221</v>
      </c>
      <c r="J154" s="238">
        <v>0</v>
      </c>
    </row>
    <row r="155" spans="1:10">
      <c r="A155" s="71"/>
      <c r="B155" s="107" t="s">
        <v>186</v>
      </c>
      <c r="C155" s="107" t="s">
        <v>439</v>
      </c>
      <c r="D155" s="109">
        <v>0</v>
      </c>
      <c r="F155" s="239" t="s">
        <v>144</v>
      </c>
      <c r="G155" s="237" t="s">
        <v>60</v>
      </c>
      <c r="H155" s="237" t="s">
        <v>10</v>
      </c>
      <c r="I155" s="237" t="s">
        <v>222</v>
      </c>
      <c r="J155" s="238">
        <v>0</v>
      </c>
    </row>
    <row r="156" spans="1:10" ht="16" thickBot="1">
      <c r="A156" s="71"/>
      <c r="B156" s="107" t="s">
        <v>88</v>
      </c>
      <c r="C156" s="107" t="s">
        <v>440</v>
      </c>
      <c r="D156" s="109">
        <v>0.70279999999999998</v>
      </c>
      <c r="F156" s="472" t="s">
        <v>347</v>
      </c>
      <c r="G156" s="237" t="s">
        <v>60</v>
      </c>
      <c r="H156" s="237" t="s">
        <v>10</v>
      </c>
      <c r="I156" s="237" t="s">
        <v>367</v>
      </c>
      <c r="J156" s="238">
        <v>0</v>
      </c>
    </row>
    <row r="157" spans="1:10">
      <c r="A157" s="71"/>
      <c r="B157" s="107" t="s">
        <v>10</v>
      </c>
      <c r="C157" s="107" t="s">
        <v>441</v>
      </c>
      <c r="D157" s="109">
        <v>0.91720000000000002</v>
      </c>
      <c r="F157" s="472" t="s">
        <v>349</v>
      </c>
      <c r="G157" s="234" t="s">
        <v>60</v>
      </c>
      <c r="H157" s="107" t="s">
        <v>290</v>
      </c>
      <c r="I157" s="234" t="s">
        <v>377</v>
      </c>
      <c r="J157" s="238">
        <v>0</v>
      </c>
    </row>
    <row r="158" spans="1:10">
      <c r="A158" s="106"/>
      <c r="B158" s="107" t="s">
        <v>290</v>
      </c>
      <c r="C158" t="s">
        <v>291</v>
      </c>
      <c r="D158" s="108">
        <v>0</v>
      </c>
      <c r="F158" s="236" t="s">
        <v>146</v>
      </c>
      <c r="G158" s="237" t="s">
        <v>60</v>
      </c>
      <c r="H158" s="107" t="s">
        <v>290</v>
      </c>
      <c r="I158" s="237" t="s">
        <v>292</v>
      </c>
      <c r="J158" s="238">
        <v>0</v>
      </c>
    </row>
    <row r="159" spans="1:10">
      <c r="A159" s="71"/>
      <c r="B159" s="107" t="s">
        <v>53</v>
      </c>
      <c r="C159" s="107" t="s">
        <v>442</v>
      </c>
      <c r="D159" s="109">
        <v>0.91720000000000002</v>
      </c>
      <c r="F159" s="236" t="s">
        <v>145</v>
      </c>
      <c r="G159" s="237" t="s">
        <v>60</v>
      </c>
      <c r="H159" s="107" t="s">
        <v>290</v>
      </c>
      <c r="I159" s="237" t="s">
        <v>293</v>
      </c>
      <c r="J159" s="238">
        <v>0</v>
      </c>
    </row>
    <row r="160" spans="1:10">
      <c r="A160" s="71" t="s">
        <v>59</v>
      </c>
      <c r="B160" s="107" t="s">
        <v>98</v>
      </c>
      <c r="C160" s="107" t="s">
        <v>187</v>
      </c>
      <c r="D160" s="108">
        <f>D135</f>
        <v>0</v>
      </c>
      <c r="F160" s="472" t="s">
        <v>348</v>
      </c>
      <c r="G160" s="237" t="s">
        <v>60</v>
      </c>
      <c r="H160" s="107" t="s">
        <v>290</v>
      </c>
      <c r="I160" s="237" t="s">
        <v>358</v>
      </c>
      <c r="J160" s="238">
        <v>0</v>
      </c>
    </row>
    <row r="161" spans="1:10">
      <c r="A161" s="71"/>
      <c r="B161" s="107" t="s">
        <v>186</v>
      </c>
      <c r="C161" s="107" t="s">
        <v>188</v>
      </c>
      <c r="D161" s="108">
        <f>D136</f>
        <v>0.2616</v>
      </c>
      <c r="F161" s="236" t="s">
        <v>143</v>
      </c>
      <c r="G161" s="237" t="s">
        <v>60</v>
      </c>
      <c r="H161" s="107" t="s">
        <v>290</v>
      </c>
      <c r="I161" s="237" t="s">
        <v>294</v>
      </c>
      <c r="J161" s="238">
        <v>0</v>
      </c>
    </row>
    <row r="162" spans="1:10">
      <c r="A162" s="71"/>
      <c r="B162" s="107" t="s">
        <v>88</v>
      </c>
      <c r="C162" s="107" t="s">
        <v>189</v>
      </c>
      <c r="D162" s="108">
        <f>D137</f>
        <v>0.379</v>
      </c>
      <c r="F162" s="239" t="s">
        <v>144</v>
      </c>
      <c r="G162" s="237" t="s">
        <v>60</v>
      </c>
      <c r="H162" s="107" t="s">
        <v>290</v>
      </c>
      <c r="I162" s="237" t="s">
        <v>295</v>
      </c>
      <c r="J162" s="238">
        <v>0</v>
      </c>
    </row>
    <row r="163" spans="1:10" ht="16" thickBot="1">
      <c r="A163" s="71"/>
      <c r="B163" s="107" t="s">
        <v>10</v>
      </c>
      <c r="C163" s="107" t="s">
        <v>190</v>
      </c>
      <c r="D163" s="108">
        <f>D138</f>
        <v>0.2959</v>
      </c>
      <c r="F163" s="472" t="s">
        <v>347</v>
      </c>
      <c r="G163" s="237" t="s">
        <v>60</v>
      </c>
      <c r="H163" s="107" t="s">
        <v>290</v>
      </c>
      <c r="I163" s="237" t="s">
        <v>368</v>
      </c>
      <c r="J163" s="238">
        <v>0</v>
      </c>
    </row>
    <row r="164" spans="1:10">
      <c r="A164" s="106"/>
      <c r="B164" s="107" t="s">
        <v>290</v>
      </c>
      <c r="C164" t="s">
        <v>291</v>
      </c>
      <c r="D164" s="108">
        <v>0</v>
      </c>
      <c r="F164" s="472" t="s">
        <v>349</v>
      </c>
      <c r="G164" s="240" t="s">
        <v>60</v>
      </c>
      <c r="H164" s="240" t="s">
        <v>53</v>
      </c>
      <c r="I164" s="240" t="s">
        <v>378</v>
      </c>
      <c r="J164" s="241">
        <f>IF(Wine!C13&lt;=13.7,B99,IF(Wine!C13&lt;=14.9,B102,IF(Wine!C13&gt;14.9,0)))</f>
        <v>1.8700000000000001E-2</v>
      </c>
    </row>
    <row r="165" spans="1:10">
      <c r="A165" s="71"/>
      <c r="B165" s="107" t="s">
        <v>53</v>
      </c>
      <c r="C165" s="107" t="s">
        <v>191</v>
      </c>
      <c r="D165" s="108">
        <f>D140</f>
        <v>0.67530000000000001</v>
      </c>
      <c r="F165" s="236" t="s">
        <v>146</v>
      </c>
      <c r="G165" s="240" t="s">
        <v>60</v>
      </c>
      <c r="H165" s="240" t="s">
        <v>53</v>
      </c>
      <c r="I165" s="240" t="s">
        <v>223</v>
      </c>
      <c r="J165" s="242">
        <v>0</v>
      </c>
    </row>
    <row r="166" spans="1:10">
      <c r="A166" s="186" t="s">
        <v>344</v>
      </c>
      <c r="B166" s="107" t="s">
        <v>98</v>
      </c>
      <c r="C166" s="107" t="s">
        <v>443</v>
      </c>
      <c r="D166" s="108">
        <f>D142</f>
        <v>0</v>
      </c>
      <c r="F166" s="236" t="s">
        <v>145</v>
      </c>
      <c r="G166" s="240" t="s">
        <v>60</v>
      </c>
      <c r="H166" s="240" t="s">
        <v>53</v>
      </c>
      <c r="I166" s="240" t="s">
        <v>224</v>
      </c>
      <c r="J166" s="242">
        <f>IF(Wine!C13&lt;=13.6,B110,IF(Wine!C13&lt;=14.8,B111,IF(Wine!C13&lt;=15.8,B112,IF(Wine!C13&lt;=16.8,B113,IF(Wine!C13&lt;=17.8,B114,IF(Wine!C13&lt;=18.8,B115,IF(Wine!C13&lt;=19.8,B116,IF(Wine!C13&lt;=20.8,B117,IF(Wine!C13&lt;=21.8,B118,IF(Wine!C13&lt;=22.8,B119,IF(Wine!C13&gt;=22.9,B120)))))))))))</f>
        <v>2.8199999999999999E-2</v>
      </c>
    </row>
    <row r="167" spans="1:10">
      <c r="A167" s="71"/>
      <c r="B167" s="107" t="s">
        <v>186</v>
      </c>
      <c r="C167" s="107" t="s">
        <v>444</v>
      </c>
      <c r="D167" s="108">
        <f>D143</f>
        <v>0.29859999999999998</v>
      </c>
      <c r="F167" s="472" t="s">
        <v>348</v>
      </c>
      <c r="G167" s="240" t="s">
        <v>60</v>
      </c>
      <c r="H167" s="240" t="s">
        <v>53</v>
      </c>
      <c r="I167" s="240" t="s">
        <v>359</v>
      </c>
      <c r="J167" s="242">
        <v>0</v>
      </c>
    </row>
    <row r="168" spans="1:10">
      <c r="A168" s="71"/>
      <c r="B168" s="107" t="s">
        <v>88</v>
      </c>
      <c r="C168" s="107" t="s">
        <v>445</v>
      </c>
      <c r="D168" s="108">
        <f>D144</f>
        <v>0.56510000000000005</v>
      </c>
      <c r="F168" s="236" t="s">
        <v>143</v>
      </c>
      <c r="G168" s="240" t="s">
        <v>60</v>
      </c>
      <c r="H168" s="240" t="s">
        <v>53</v>
      </c>
      <c r="I168" s="240" t="s">
        <v>225</v>
      </c>
      <c r="J168" s="242">
        <v>0</v>
      </c>
    </row>
    <row r="169" spans="1:10">
      <c r="A169" s="71"/>
      <c r="B169" s="107" t="s">
        <v>10</v>
      </c>
      <c r="C169" s="107" t="s">
        <v>446</v>
      </c>
      <c r="D169" s="108">
        <f>D145</f>
        <v>1.7479</v>
      </c>
      <c r="F169" s="239" t="s">
        <v>144</v>
      </c>
      <c r="G169" s="240" t="s">
        <v>60</v>
      </c>
      <c r="H169" s="240" t="s">
        <v>53</v>
      </c>
      <c r="I169" s="240" t="s">
        <v>226</v>
      </c>
      <c r="J169" s="242">
        <v>0</v>
      </c>
    </row>
    <row r="170" spans="1:10" ht="16" thickBot="1">
      <c r="A170" s="106"/>
      <c r="B170" s="107" t="s">
        <v>290</v>
      </c>
      <c r="C170" t="s">
        <v>291</v>
      </c>
      <c r="D170" s="108">
        <v>0</v>
      </c>
      <c r="F170" s="472" t="s">
        <v>347</v>
      </c>
      <c r="G170" s="240" t="s">
        <v>60</v>
      </c>
      <c r="H170" s="240" t="s">
        <v>53</v>
      </c>
      <c r="I170" s="240" t="s">
        <v>369</v>
      </c>
      <c r="J170" s="242">
        <v>0</v>
      </c>
    </row>
    <row r="171" spans="1:10">
      <c r="A171" s="71"/>
      <c r="B171" s="107" t="s">
        <v>53</v>
      </c>
      <c r="C171" s="107" t="s">
        <v>447</v>
      </c>
      <c r="D171" s="108">
        <f>D147</f>
        <v>1.7479</v>
      </c>
      <c r="F171" s="472" t="s">
        <v>349</v>
      </c>
      <c r="G171" s="234" t="s">
        <v>60</v>
      </c>
      <c r="H171" s="234" t="s">
        <v>98</v>
      </c>
      <c r="I171" s="234" t="s">
        <v>379</v>
      </c>
      <c r="J171" s="235">
        <v>0</v>
      </c>
    </row>
    <row r="172" spans="1:10">
      <c r="A172" s="71" t="s">
        <v>130</v>
      </c>
      <c r="B172" s="107" t="s">
        <v>98</v>
      </c>
      <c r="C172" s="107" t="s">
        <v>192</v>
      </c>
      <c r="D172" s="108">
        <f>D135</f>
        <v>0</v>
      </c>
      <c r="F172" s="236" t="s">
        <v>146</v>
      </c>
      <c r="G172" s="237" t="s">
        <v>60</v>
      </c>
      <c r="H172" s="237" t="s">
        <v>98</v>
      </c>
      <c r="I172" s="237" t="s">
        <v>227</v>
      </c>
      <c r="J172" s="238">
        <v>0</v>
      </c>
    </row>
    <row r="173" spans="1:10">
      <c r="A173" s="71"/>
      <c r="B173" s="107" t="s">
        <v>186</v>
      </c>
      <c r="C173" s="107" t="s">
        <v>193</v>
      </c>
      <c r="D173" s="108">
        <f>D136</f>
        <v>0.2616</v>
      </c>
      <c r="F173" s="236" t="s">
        <v>145</v>
      </c>
      <c r="G173" s="237" t="s">
        <v>60</v>
      </c>
      <c r="H173" s="237" t="s">
        <v>98</v>
      </c>
      <c r="I173" s="237" t="s">
        <v>228</v>
      </c>
      <c r="J173" s="238">
        <v>0</v>
      </c>
    </row>
    <row r="174" spans="1:10">
      <c r="A174" s="71"/>
      <c r="B174" s="107" t="s">
        <v>88</v>
      </c>
      <c r="C174" s="107" t="s">
        <v>194</v>
      </c>
      <c r="D174" s="108">
        <f>D137</f>
        <v>0.379</v>
      </c>
      <c r="F174" s="472" t="s">
        <v>348</v>
      </c>
      <c r="G174" s="237" t="s">
        <v>60</v>
      </c>
      <c r="H174" s="237" t="s">
        <v>98</v>
      </c>
      <c r="I174" s="237" t="s">
        <v>360</v>
      </c>
      <c r="J174" s="238">
        <v>0</v>
      </c>
    </row>
    <row r="175" spans="1:10">
      <c r="A175" s="71"/>
      <c r="B175" s="107" t="s">
        <v>10</v>
      </c>
      <c r="C175" s="107" t="s">
        <v>195</v>
      </c>
      <c r="D175" s="108">
        <f>D138</f>
        <v>0.2959</v>
      </c>
      <c r="F175" s="236" t="s">
        <v>143</v>
      </c>
      <c r="G175" s="237" t="s">
        <v>60</v>
      </c>
      <c r="H175" s="237" t="s">
        <v>98</v>
      </c>
      <c r="I175" s="237" t="s">
        <v>229</v>
      </c>
      <c r="J175" s="238">
        <v>0</v>
      </c>
    </row>
    <row r="176" spans="1:10">
      <c r="A176" s="106"/>
      <c r="B176" s="107" t="s">
        <v>290</v>
      </c>
      <c r="C176" t="s">
        <v>291</v>
      </c>
      <c r="D176" s="108">
        <v>0</v>
      </c>
      <c r="F176" s="239" t="s">
        <v>144</v>
      </c>
      <c r="G176" s="237" t="s">
        <v>60</v>
      </c>
      <c r="H176" s="237" t="s">
        <v>98</v>
      </c>
      <c r="I176" s="237" t="s">
        <v>230</v>
      </c>
      <c r="J176" s="238">
        <v>0</v>
      </c>
    </row>
    <row r="177" spans="1:10" ht="16" thickBot="1">
      <c r="A177" s="71"/>
      <c r="B177" s="107" t="s">
        <v>53</v>
      </c>
      <c r="C177" s="107" t="s">
        <v>196</v>
      </c>
      <c r="D177" s="108">
        <f>D140</f>
        <v>0.67530000000000001</v>
      </c>
      <c r="F177" s="472" t="s">
        <v>347</v>
      </c>
      <c r="G177" s="237" t="s">
        <v>60</v>
      </c>
      <c r="H177" s="237" t="s">
        <v>98</v>
      </c>
      <c r="I177" s="237" t="s">
        <v>370</v>
      </c>
      <c r="J177" s="238">
        <v>0</v>
      </c>
    </row>
    <row r="178" spans="1:10">
      <c r="A178" s="480" t="s">
        <v>336</v>
      </c>
      <c r="B178" s="481" t="s">
        <v>98</v>
      </c>
      <c r="C178" s="481" t="s">
        <v>433</v>
      </c>
      <c r="D178" s="482">
        <v>0</v>
      </c>
      <c r="F178" s="472" t="s">
        <v>349</v>
      </c>
      <c r="G178" s="240" t="s">
        <v>6</v>
      </c>
      <c r="H178" s="240" t="s">
        <v>186</v>
      </c>
      <c r="I178" s="240" t="s">
        <v>380</v>
      </c>
      <c r="J178" s="241">
        <v>0</v>
      </c>
    </row>
    <row r="179" spans="1:10">
      <c r="A179" s="480"/>
      <c r="B179" s="481" t="s">
        <v>186</v>
      </c>
      <c r="C179" s="481" t="s">
        <v>434</v>
      </c>
      <c r="D179" s="482">
        <v>0</v>
      </c>
      <c r="F179" s="236" t="s">
        <v>146</v>
      </c>
      <c r="G179" s="240" t="s">
        <v>6</v>
      </c>
      <c r="H179" s="240" t="s">
        <v>186</v>
      </c>
      <c r="I179" s="240" t="s">
        <v>231</v>
      </c>
      <c r="J179" s="242">
        <v>0</v>
      </c>
    </row>
    <row r="180" spans="1:10">
      <c r="A180" s="480"/>
      <c r="B180" s="481" t="s">
        <v>88</v>
      </c>
      <c r="C180" s="481" t="s">
        <v>435</v>
      </c>
      <c r="D180" s="482">
        <v>0.70279999999999998</v>
      </c>
      <c r="F180" s="236" t="s">
        <v>145</v>
      </c>
      <c r="G180" s="240" t="s">
        <v>6</v>
      </c>
      <c r="H180" s="240" t="s">
        <v>186</v>
      </c>
      <c r="I180" s="240" t="s">
        <v>232</v>
      </c>
      <c r="J180" s="242">
        <v>0</v>
      </c>
    </row>
    <row r="181" spans="1:10">
      <c r="A181" s="480"/>
      <c r="B181" s="481" t="s">
        <v>10</v>
      </c>
      <c r="C181" s="481" t="s">
        <v>436</v>
      </c>
      <c r="D181" s="482">
        <v>0.91720000000000002</v>
      </c>
      <c r="F181" s="472" t="s">
        <v>348</v>
      </c>
      <c r="G181" s="240" t="s">
        <v>6</v>
      </c>
      <c r="H181" s="240" t="s">
        <v>186</v>
      </c>
      <c r="I181" s="240" t="s">
        <v>361</v>
      </c>
      <c r="J181" s="242">
        <v>0</v>
      </c>
    </row>
    <row r="182" spans="1:10">
      <c r="A182" s="483"/>
      <c r="B182" s="481" t="s">
        <v>290</v>
      </c>
      <c r="C182" s="484" t="s">
        <v>291</v>
      </c>
      <c r="D182" s="482">
        <v>0</v>
      </c>
      <c r="F182" s="236" t="s">
        <v>143</v>
      </c>
      <c r="G182" s="240" t="s">
        <v>6</v>
      </c>
      <c r="H182" s="240" t="s">
        <v>186</v>
      </c>
      <c r="I182" s="240" t="s">
        <v>233</v>
      </c>
      <c r="J182" s="242">
        <v>0</v>
      </c>
    </row>
    <row r="183" spans="1:10">
      <c r="A183" s="480"/>
      <c r="B183" s="481" t="s">
        <v>53</v>
      </c>
      <c r="C183" s="481" t="s">
        <v>437</v>
      </c>
      <c r="D183" s="482">
        <v>0.91720000000000002</v>
      </c>
      <c r="F183" s="239" t="s">
        <v>144</v>
      </c>
      <c r="G183" s="240" t="s">
        <v>6</v>
      </c>
      <c r="H183" s="240" t="s">
        <v>186</v>
      </c>
      <c r="I183" s="240" t="s">
        <v>234</v>
      </c>
      <c r="J183" s="242">
        <v>0</v>
      </c>
    </row>
    <row r="184" spans="1:10" ht="16" thickBot="1">
      <c r="A184" s="480"/>
      <c r="B184" s="481"/>
      <c r="C184" s="481"/>
      <c r="D184" s="482"/>
      <c r="F184" s="472" t="s">
        <v>347</v>
      </c>
      <c r="G184" s="240" t="s">
        <v>6</v>
      </c>
      <c r="H184" s="240" t="s">
        <v>186</v>
      </c>
      <c r="I184" s="240" t="s">
        <v>371</v>
      </c>
      <c r="J184" s="242">
        <v>0</v>
      </c>
    </row>
    <row r="185" spans="1:10">
      <c r="A185" s="480"/>
      <c r="B185" s="481"/>
      <c r="C185" s="481"/>
      <c r="D185" s="482"/>
      <c r="F185" s="472" t="s">
        <v>349</v>
      </c>
      <c r="G185" s="234" t="s">
        <v>6</v>
      </c>
      <c r="H185" s="234" t="s">
        <v>88</v>
      </c>
      <c r="I185" s="234" t="s">
        <v>381</v>
      </c>
      <c r="J185" s="235">
        <v>0</v>
      </c>
    </row>
    <row r="186" spans="1:10">
      <c r="A186" s="480"/>
      <c r="B186" s="481"/>
      <c r="C186" s="481"/>
      <c r="D186" s="482"/>
      <c r="F186" s="236" t="s">
        <v>146</v>
      </c>
      <c r="G186" s="237" t="s">
        <v>6</v>
      </c>
      <c r="H186" s="237" t="s">
        <v>88</v>
      </c>
      <c r="I186" s="237" t="s">
        <v>235</v>
      </c>
      <c r="J186" s="238">
        <v>0</v>
      </c>
    </row>
    <row r="187" spans="1:10">
      <c r="A187" s="480"/>
      <c r="B187" s="481"/>
      <c r="C187" s="481"/>
      <c r="D187" s="482"/>
      <c r="F187" s="236" t="s">
        <v>145</v>
      </c>
      <c r="G187" s="237" t="s">
        <v>6</v>
      </c>
      <c r="H187" s="237" t="s">
        <v>88</v>
      </c>
      <c r="I187" s="237" t="s">
        <v>236</v>
      </c>
      <c r="J187" s="238">
        <v>0</v>
      </c>
    </row>
    <row r="188" spans="1:10">
      <c r="A188" s="483"/>
      <c r="B188" s="481"/>
      <c r="C188" s="484"/>
      <c r="D188" s="482"/>
      <c r="F188" s="472" t="s">
        <v>348</v>
      </c>
      <c r="G188" s="237" t="s">
        <v>6</v>
      </c>
      <c r="H188" s="237" t="s">
        <v>88</v>
      </c>
      <c r="I188" s="237" t="s">
        <v>362</v>
      </c>
      <c r="J188" s="238">
        <v>0</v>
      </c>
    </row>
    <row r="189" spans="1:10">
      <c r="A189" s="480"/>
      <c r="B189" s="481"/>
      <c r="C189" s="481"/>
      <c r="D189" s="482"/>
      <c r="F189" s="236" t="s">
        <v>143</v>
      </c>
      <c r="G189" s="237" t="s">
        <v>6</v>
      </c>
      <c r="H189" s="237" t="s">
        <v>88</v>
      </c>
      <c r="I189" s="237" t="s">
        <v>237</v>
      </c>
      <c r="J189" s="238">
        <v>0</v>
      </c>
    </row>
    <row r="190" spans="1:10">
      <c r="F190" s="239" t="s">
        <v>144</v>
      </c>
      <c r="G190" s="237" t="s">
        <v>6</v>
      </c>
      <c r="H190" s="237" t="s">
        <v>88</v>
      </c>
      <c r="I190" s="237" t="s">
        <v>238</v>
      </c>
      <c r="J190" s="238">
        <v>0</v>
      </c>
    </row>
    <row r="191" spans="1:10" ht="16" thickBot="1">
      <c r="F191" s="472" t="s">
        <v>347</v>
      </c>
      <c r="G191" s="237" t="s">
        <v>6</v>
      </c>
      <c r="H191" s="237" t="s">
        <v>88</v>
      </c>
      <c r="I191" s="237" t="s">
        <v>372</v>
      </c>
      <c r="J191" s="238">
        <v>0</v>
      </c>
    </row>
    <row r="192" spans="1:10">
      <c r="F192" s="472" t="s">
        <v>349</v>
      </c>
      <c r="G192" s="240" t="s">
        <v>6</v>
      </c>
      <c r="H192" s="240" t="s">
        <v>10</v>
      </c>
      <c r="I192" s="240" t="s">
        <v>382</v>
      </c>
      <c r="J192" s="241">
        <v>0</v>
      </c>
    </row>
    <row r="193" spans="6:10">
      <c r="F193" s="236" t="s">
        <v>146</v>
      </c>
      <c r="G193" s="240" t="s">
        <v>6</v>
      </c>
      <c r="H193" s="240" t="s">
        <v>10</v>
      </c>
      <c r="I193" s="240" t="s">
        <v>239</v>
      </c>
      <c r="J193" s="242">
        <v>0</v>
      </c>
    </row>
    <row r="194" spans="6:10">
      <c r="F194" s="236" t="s">
        <v>145</v>
      </c>
      <c r="G194" s="240" t="s">
        <v>6</v>
      </c>
      <c r="H194" s="240" t="s">
        <v>10</v>
      </c>
      <c r="I194" s="240" t="s">
        <v>240</v>
      </c>
      <c r="J194" s="242">
        <v>0</v>
      </c>
    </row>
    <row r="195" spans="6:10">
      <c r="F195" s="472" t="s">
        <v>348</v>
      </c>
      <c r="G195" s="240" t="s">
        <v>6</v>
      </c>
      <c r="H195" s="240" t="s">
        <v>10</v>
      </c>
      <c r="I195" s="240" t="s">
        <v>363</v>
      </c>
      <c r="J195" s="242">
        <v>0</v>
      </c>
    </row>
    <row r="196" spans="6:10">
      <c r="F196" s="236" t="s">
        <v>143</v>
      </c>
      <c r="G196" s="240" t="s">
        <v>6</v>
      </c>
      <c r="H196" s="240" t="s">
        <v>10</v>
      </c>
      <c r="I196" s="240" t="s">
        <v>241</v>
      </c>
      <c r="J196" s="242">
        <v>0</v>
      </c>
    </row>
    <row r="197" spans="6:10">
      <c r="F197" s="239" t="s">
        <v>144</v>
      </c>
      <c r="G197" s="240" t="s">
        <v>6</v>
      </c>
      <c r="H197" s="240" t="s">
        <v>10</v>
      </c>
      <c r="I197" s="240" t="s">
        <v>242</v>
      </c>
      <c r="J197" s="242">
        <v>0</v>
      </c>
    </row>
    <row r="198" spans="6:10" ht="16" thickBot="1">
      <c r="F198" s="472" t="s">
        <v>347</v>
      </c>
      <c r="G198" s="240" t="s">
        <v>6</v>
      </c>
      <c r="H198" s="240" t="s">
        <v>10</v>
      </c>
      <c r="I198" s="240" t="s">
        <v>373</v>
      </c>
      <c r="J198" s="242">
        <v>0</v>
      </c>
    </row>
    <row r="199" spans="6:10">
      <c r="F199" s="472" t="s">
        <v>349</v>
      </c>
      <c r="G199" s="234" t="s">
        <v>6</v>
      </c>
      <c r="H199" s="234" t="s">
        <v>53</v>
      </c>
      <c r="I199" s="234" t="s">
        <v>383</v>
      </c>
      <c r="J199" s="235">
        <f>IF(Wine!C13&lt;=13.7,B99,IF(Wine!C13&lt;=14.9,B102,IF(Wine!C13&gt;14.9,0)))</f>
        <v>1.8700000000000001E-2</v>
      </c>
    </row>
    <row r="200" spans="6:10">
      <c r="F200" s="236" t="s">
        <v>146</v>
      </c>
      <c r="G200" s="237" t="s">
        <v>6</v>
      </c>
      <c r="H200" s="237" t="s">
        <v>53</v>
      </c>
      <c r="I200" s="237" t="s">
        <v>243</v>
      </c>
      <c r="J200" s="238">
        <v>0</v>
      </c>
    </row>
    <row r="201" spans="6:10">
      <c r="F201" s="236" t="s">
        <v>145</v>
      </c>
      <c r="G201" s="237" t="s">
        <v>6</v>
      </c>
      <c r="H201" s="237" t="s">
        <v>53</v>
      </c>
      <c r="I201" s="237" t="s">
        <v>244</v>
      </c>
      <c r="J201" s="238">
        <f>IF(Wine!C13&lt;=13.6,B110,IF(Wine!C13&lt;=14.8,B111,IF(Wine!C13&lt;=15.8,B112,IF(Wine!C13&lt;=16.8,B113,IF(Wine!C13&lt;=17.8,B114,IF(Wine!C13&lt;=18.8,B115,IF(Wine!C13&lt;=19.8,B116,IF(Wine!C13&lt;=20.8,B117,IF(Wine!C13&lt;=21.8,B118,IF(Wine!C13&lt;=22.8,B119,IF(Wine!C13&gt;=22.9,B120)))))))))))</f>
        <v>2.8199999999999999E-2</v>
      </c>
    </row>
    <row r="202" spans="6:10">
      <c r="F202" s="472" t="s">
        <v>348</v>
      </c>
      <c r="G202" s="237" t="s">
        <v>6</v>
      </c>
      <c r="H202" s="237" t="s">
        <v>53</v>
      </c>
      <c r="I202" s="237" t="s">
        <v>364</v>
      </c>
      <c r="J202" s="238">
        <v>0</v>
      </c>
    </row>
    <row r="203" spans="6:10">
      <c r="F203" s="236" t="s">
        <v>143</v>
      </c>
      <c r="G203" s="237" t="s">
        <v>6</v>
      </c>
      <c r="H203" s="237" t="s">
        <v>53</v>
      </c>
      <c r="I203" s="237" t="s">
        <v>245</v>
      </c>
      <c r="J203" s="238">
        <v>0</v>
      </c>
    </row>
    <row r="204" spans="6:10">
      <c r="F204" s="239" t="s">
        <v>144</v>
      </c>
      <c r="G204" s="237" t="s">
        <v>6</v>
      </c>
      <c r="H204" s="237" t="s">
        <v>53</v>
      </c>
      <c r="I204" s="237" t="s">
        <v>246</v>
      </c>
      <c r="J204" s="238">
        <v>0</v>
      </c>
    </row>
    <row r="205" spans="6:10" ht="16" thickBot="1">
      <c r="F205" s="472" t="s">
        <v>347</v>
      </c>
      <c r="G205" s="237" t="s">
        <v>6</v>
      </c>
      <c r="H205" s="237" t="s">
        <v>53</v>
      </c>
      <c r="I205" s="237" t="s">
        <v>374</v>
      </c>
      <c r="J205" s="238">
        <v>0</v>
      </c>
    </row>
    <row r="206" spans="6:10">
      <c r="F206" s="472" t="s">
        <v>349</v>
      </c>
      <c r="G206" s="237" t="s">
        <v>6</v>
      </c>
      <c r="H206" s="107" t="s">
        <v>290</v>
      </c>
      <c r="I206" s="234" t="s">
        <v>384</v>
      </c>
      <c r="J206" s="238">
        <v>0</v>
      </c>
    </row>
    <row r="207" spans="6:10">
      <c r="F207" s="236" t="s">
        <v>146</v>
      </c>
      <c r="G207" s="237" t="s">
        <v>6</v>
      </c>
      <c r="H207" s="107" t="s">
        <v>290</v>
      </c>
      <c r="I207" s="237" t="s">
        <v>302</v>
      </c>
      <c r="J207" s="238">
        <v>0</v>
      </c>
    </row>
    <row r="208" spans="6:10">
      <c r="F208" s="236" t="s">
        <v>145</v>
      </c>
      <c r="G208" s="237" t="s">
        <v>6</v>
      </c>
      <c r="H208" s="107" t="s">
        <v>290</v>
      </c>
      <c r="I208" s="237" t="s">
        <v>303</v>
      </c>
      <c r="J208" s="238">
        <v>0</v>
      </c>
    </row>
    <row r="209" spans="6:10">
      <c r="F209" s="472" t="s">
        <v>348</v>
      </c>
      <c r="G209" s="237" t="s">
        <v>6</v>
      </c>
      <c r="H209" s="107" t="s">
        <v>290</v>
      </c>
      <c r="I209" s="237" t="s">
        <v>365</v>
      </c>
      <c r="J209" s="238">
        <v>0</v>
      </c>
    </row>
    <row r="210" spans="6:10">
      <c r="F210" s="236" t="s">
        <v>143</v>
      </c>
      <c r="G210" s="237" t="s">
        <v>6</v>
      </c>
      <c r="H210" s="107" t="s">
        <v>290</v>
      </c>
      <c r="I210" s="237" t="s">
        <v>304</v>
      </c>
      <c r="J210" s="238">
        <v>0</v>
      </c>
    </row>
    <row r="211" spans="6:10">
      <c r="F211" s="239" t="s">
        <v>144</v>
      </c>
      <c r="G211" s="237" t="s">
        <v>6</v>
      </c>
      <c r="H211" s="107" t="s">
        <v>290</v>
      </c>
      <c r="I211" s="237" t="s">
        <v>305</v>
      </c>
      <c r="J211" s="238">
        <v>0</v>
      </c>
    </row>
    <row r="212" spans="6:10" ht="16" thickBot="1">
      <c r="F212" s="472" t="s">
        <v>347</v>
      </c>
      <c r="G212" s="237" t="s">
        <v>6</v>
      </c>
      <c r="H212" s="107" t="s">
        <v>290</v>
      </c>
      <c r="I212" s="237" t="s">
        <v>375</v>
      </c>
      <c r="J212" s="238">
        <v>0</v>
      </c>
    </row>
    <row r="213" spans="6:10">
      <c r="F213" s="472" t="s">
        <v>349</v>
      </c>
      <c r="G213" s="240" t="s">
        <v>6</v>
      </c>
      <c r="H213" s="240" t="s">
        <v>98</v>
      </c>
      <c r="I213" s="240" t="s">
        <v>385</v>
      </c>
      <c r="J213" s="241">
        <v>0</v>
      </c>
    </row>
    <row r="214" spans="6:10">
      <c r="F214" s="236" t="s">
        <v>146</v>
      </c>
      <c r="G214" s="240" t="s">
        <v>6</v>
      </c>
      <c r="H214" s="240" t="s">
        <v>98</v>
      </c>
      <c r="I214" s="240" t="s">
        <v>247</v>
      </c>
      <c r="J214" s="242">
        <v>0</v>
      </c>
    </row>
    <row r="215" spans="6:10">
      <c r="F215" s="236" t="s">
        <v>145</v>
      </c>
      <c r="G215" s="240" t="s">
        <v>6</v>
      </c>
      <c r="H215" s="240" t="s">
        <v>98</v>
      </c>
      <c r="I215" s="240" t="s">
        <v>248</v>
      </c>
      <c r="J215" s="242">
        <v>0</v>
      </c>
    </row>
    <row r="216" spans="6:10">
      <c r="F216" s="472" t="s">
        <v>348</v>
      </c>
      <c r="G216" s="240" t="s">
        <v>6</v>
      </c>
      <c r="H216" s="240" t="s">
        <v>98</v>
      </c>
      <c r="I216" s="240" t="s">
        <v>366</v>
      </c>
      <c r="J216" s="242">
        <v>0</v>
      </c>
    </row>
    <row r="217" spans="6:10">
      <c r="F217" s="236" t="s">
        <v>143</v>
      </c>
      <c r="G217" s="240" t="s">
        <v>6</v>
      </c>
      <c r="H217" s="240" t="s">
        <v>98</v>
      </c>
      <c r="I217" s="240" t="s">
        <v>249</v>
      </c>
      <c r="J217" s="242">
        <v>0</v>
      </c>
    </row>
    <row r="218" spans="6:10">
      <c r="F218" s="239" t="s">
        <v>144</v>
      </c>
      <c r="G218" s="240" t="s">
        <v>6</v>
      </c>
      <c r="H218" s="240" t="s">
        <v>98</v>
      </c>
      <c r="I218" s="240" t="s">
        <v>250</v>
      </c>
      <c r="J218" s="242">
        <v>0</v>
      </c>
    </row>
    <row r="219" spans="6:10" ht="16" thickBot="1">
      <c r="F219" s="472" t="s">
        <v>347</v>
      </c>
      <c r="G219" s="240" t="s">
        <v>6</v>
      </c>
      <c r="H219" s="240" t="s">
        <v>98</v>
      </c>
      <c r="I219" s="240" t="s">
        <v>376</v>
      </c>
      <c r="J219" s="242">
        <v>0</v>
      </c>
    </row>
    <row r="220" spans="6:10">
      <c r="F220" s="472" t="s">
        <v>343</v>
      </c>
      <c r="G220" s="244" t="s">
        <v>6</v>
      </c>
      <c r="H220" s="244" t="s">
        <v>98</v>
      </c>
      <c r="I220" s="244" t="s">
        <v>386</v>
      </c>
      <c r="J220" s="245">
        <v>0</v>
      </c>
    </row>
    <row r="221" spans="6:10">
      <c r="F221" s="472" t="s">
        <v>343</v>
      </c>
      <c r="G221" s="244" t="s">
        <v>6</v>
      </c>
      <c r="H221" s="244" t="s">
        <v>186</v>
      </c>
      <c r="I221" s="244" t="s">
        <v>387</v>
      </c>
      <c r="J221" s="246">
        <v>0</v>
      </c>
    </row>
    <row r="222" spans="6:10">
      <c r="F222" s="472" t="s">
        <v>343</v>
      </c>
      <c r="G222" s="244" t="s">
        <v>6</v>
      </c>
      <c r="H222" s="244" t="s">
        <v>88</v>
      </c>
      <c r="I222" s="244" t="s">
        <v>388</v>
      </c>
      <c r="J222" s="246">
        <v>0</v>
      </c>
    </row>
    <row r="223" spans="6:10">
      <c r="F223" s="472" t="s">
        <v>343</v>
      </c>
      <c r="G223" s="244" t="s">
        <v>6</v>
      </c>
      <c r="H223" s="244" t="s">
        <v>10</v>
      </c>
      <c r="I223" s="244" t="s">
        <v>389</v>
      </c>
      <c r="J223" s="246">
        <v>0</v>
      </c>
    </row>
    <row r="224" spans="6:10">
      <c r="F224" s="472" t="s">
        <v>343</v>
      </c>
      <c r="G224" s="244" t="s">
        <v>6</v>
      </c>
      <c r="H224" s="107" t="s">
        <v>290</v>
      </c>
      <c r="I224" s="244" t="s">
        <v>390</v>
      </c>
      <c r="J224" s="246">
        <v>0</v>
      </c>
    </row>
    <row r="225" spans="6:15" ht="16" thickBot="1">
      <c r="F225" s="472" t="s">
        <v>343</v>
      </c>
      <c r="G225" s="244" t="s">
        <v>6</v>
      </c>
      <c r="H225" s="244" t="s">
        <v>53</v>
      </c>
      <c r="I225" s="244" t="s">
        <v>391</v>
      </c>
      <c r="J225" s="246">
        <f>B132</f>
        <v>0.12280000000000001</v>
      </c>
    </row>
    <row r="226" spans="6:15" s="473" customFormat="1">
      <c r="F226" s="472" t="s">
        <v>336</v>
      </c>
      <c r="G226" s="474" t="s">
        <v>6</v>
      </c>
      <c r="H226" s="474" t="s">
        <v>98</v>
      </c>
      <c r="I226" s="474" t="s">
        <v>392</v>
      </c>
      <c r="J226" s="475">
        <v>0</v>
      </c>
      <c r="M226" s="517"/>
      <c r="N226" s="517"/>
      <c r="O226" s="517"/>
    </row>
    <row r="227" spans="6:15" s="473" customFormat="1">
      <c r="F227" s="472" t="s">
        <v>336</v>
      </c>
      <c r="G227" s="474" t="s">
        <v>6</v>
      </c>
      <c r="H227" s="474" t="s">
        <v>186</v>
      </c>
      <c r="I227" s="474" t="s">
        <v>393</v>
      </c>
      <c r="J227" s="476">
        <v>0</v>
      </c>
      <c r="M227" s="517"/>
      <c r="N227" s="517"/>
      <c r="O227" s="517"/>
    </row>
    <row r="228" spans="6:15" s="473" customFormat="1">
      <c r="F228" s="472" t="s">
        <v>336</v>
      </c>
      <c r="G228" s="474" t="s">
        <v>6</v>
      </c>
      <c r="H228" s="474" t="s">
        <v>88</v>
      </c>
      <c r="I228" s="474" t="s">
        <v>394</v>
      </c>
      <c r="J228" s="476">
        <v>0</v>
      </c>
      <c r="M228" s="517"/>
      <c r="N228" s="517"/>
      <c r="O228" s="517"/>
    </row>
    <row r="229" spans="6:15" s="473" customFormat="1">
      <c r="F229" s="472" t="s">
        <v>336</v>
      </c>
      <c r="G229" s="474" t="s">
        <v>6</v>
      </c>
      <c r="H229" s="474" t="s">
        <v>10</v>
      </c>
      <c r="I229" s="474" t="s">
        <v>395</v>
      </c>
      <c r="J229" s="476">
        <v>0</v>
      </c>
      <c r="M229" s="517"/>
      <c r="N229" s="517"/>
      <c r="O229" s="517"/>
    </row>
    <row r="230" spans="6:15" s="473" customFormat="1">
      <c r="F230" s="472" t="s">
        <v>336</v>
      </c>
      <c r="G230" s="474" t="s">
        <v>6</v>
      </c>
      <c r="H230" s="477" t="s">
        <v>290</v>
      </c>
      <c r="I230" s="474" t="s">
        <v>396</v>
      </c>
      <c r="J230" s="476">
        <v>0</v>
      </c>
      <c r="M230" s="517"/>
      <c r="N230" s="517"/>
      <c r="O230" s="517"/>
    </row>
    <row r="231" spans="6:15" s="473" customFormat="1">
      <c r="F231" s="472" t="s">
        <v>336</v>
      </c>
      <c r="G231" s="474" t="s">
        <v>6</v>
      </c>
      <c r="H231" s="474" t="s">
        <v>53</v>
      </c>
      <c r="I231" s="474" t="s">
        <v>397</v>
      </c>
      <c r="J231" s="476">
        <v>0.12280000000000001</v>
      </c>
      <c r="M231" s="517"/>
      <c r="N231" s="517"/>
      <c r="O231" s="517"/>
    </row>
    <row r="232" spans="6:15">
      <c r="F232" s="472" t="s">
        <v>342</v>
      </c>
      <c r="G232" s="248" t="s">
        <v>6</v>
      </c>
      <c r="H232" s="248" t="s">
        <v>98</v>
      </c>
      <c r="I232" s="248" t="s">
        <v>398</v>
      </c>
      <c r="J232" s="249">
        <v>0</v>
      </c>
    </row>
    <row r="233" spans="6:15" ht="16" thickBot="1">
      <c r="F233" s="472" t="s">
        <v>342</v>
      </c>
      <c r="G233" s="248" t="s">
        <v>6</v>
      </c>
      <c r="H233" s="248" t="s">
        <v>186</v>
      </c>
      <c r="I233" s="248" t="s">
        <v>399</v>
      </c>
      <c r="J233" s="249">
        <v>0</v>
      </c>
    </row>
    <row r="234" spans="6:15">
      <c r="F234" s="472" t="s">
        <v>342</v>
      </c>
      <c r="G234" s="248" t="s">
        <v>6</v>
      </c>
      <c r="H234" s="248" t="s">
        <v>88</v>
      </c>
      <c r="I234" s="248" t="s">
        <v>400</v>
      </c>
      <c r="J234" s="251">
        <v>0</v>
      </c>
    </row>
    <row r="235" spans="6:15">
      <c r="F235" s="472" t="s">
        <v>342</v>
      </c>
      <c r="G235" s="248" t="s">
        <v>6</v>
      </c>
      <c r="H235" s="248" t="s">
        <v>10</v>
      </c>
      <c r="I235" s="248" t="s">
        <v>401</v>
      </c>
      <c r="J235" s="249">
        <v>0</v>
      </c>
    </row>
    <row r="236" spans="6:15">
      <c r="F236" s="472" t="s">
        <v>342</v>
      </c>
      <c r="G236" s="248" t="s">
        <v>6</v>
      </c>
      <c r="H236" s="107" t="s">
        <v>290</v>
      </c>
      <c r="I236" s="248" t="s">
        <v>402</v>
      </c>
      <c r="J236" s="249">
        <v>0</v>
      </c>
    </row>
    <row r="237" spans="6:15" ht="16" thickBot="1">
      <c r="F237" s="472" t="s">
        <v>342</v>
      </c>
      <c r="G237" s="248" t="s">
        <v>6</v>
      </c>
      <c r="H237" s="248" t="s">
        <v>53</v>
      </c>
      <c r="I237" s="248" t="s">
        <v>403</v>
      </c>
      <c r="J237" s="249">
        <f>B132</f>
        <v>0.12280000000000001</v>
      </c>
    </row>
    <row r="238" spans="6:15">
      <c r="F238" s="243" t="s">
        <v>59</v>
      </c>
      <c r="G238" s="244" t="s">
        <v>6</v>
      </c>
      <c r="H238" s="244" t="s">
        <v>98</v>
      </c>
      <c r="I238" s="244" t="s">
        <v>251</v>
      </c>
      <c r="J238" s="245">
        <v>0</v>
      </c>
    </row>
    <row r="239" spans="6:15">
      <c r="F239" s="243" t="s">
        <v>59</v>
      </c>
      <c r="G239" s="244" t="s">
        <v>6</v>
      </c>
      <c r="H239" s="244" t="s">
        <v>186</v>
      </c>
      <c r="I239" s="244" t="s">
        <v>252</v>
      </c>
      <c r="J239" s="246">
        <v>0</v>
      </c>
    </row>
    <row r="240" spans="6:15">
      <c r="F240" s="243" t="s">
        <v>59</v>
      </c>
      <c r="G240" s="244" t="s">
        <v>6</v>
      </c>
      <c r="H240" s="244" t="s">
        <v>88</v>
      </c>
      <c r="I240" s="244" t="s">
        <v>253</v>
      </c>
      <c r="J240" s="246">
        <v>0</v>
      </c>
    </row>
    <row r="241" spans="6:10">
      <c r="F241" s="243" t="s">
        <v>59</v>
      </c>
      <c r="G241" s="244" t="s">
        <v>6</v>
      </c>
      <c r="H241" s="244" t="s">
        <v>10</v>
      </c>
      <c r="I241" s="244" t="s">
        <v>254</v>
      </c>
      <c r="J241" s="246">
        <v>0</v>
      </c>
    </row>
    <row r="242" spans="6:10">
      <c r="F242" s="243" t="s">
        <v>59</v>
      </c>
      <c r="G242" s="244" t="s">
        <v>6</v>
      </c>
      <c r="H242" s="107" t="s">
        <v>290</v>
      </c>
      <c r="I242" s="244" t="s">
        <v>296</v>
      </c>
      <c r="J242" s="246">
        <v>0</v>
      </c>
    </row>
    <row r="243" spans="6:10">
      <c r="F243" s="243" t="s">
        <v>59</v>
      </c>
      <c r="G243" s="244" t="s">
        <v>6</v>
      </c>
      <c r="H243" s="244" t="s">
        <v>53</v>
      </c>
      <c r="I243" s="244" t="s">
        <v>255</v>
      </c>
      <c r="J243" s="246">
        <f>B130</f>
        <v>0.03</v>
      </c>
    </row>
    <row r="244" spans="6:10">
      <c r="F244" s="472" t="s">
        <v>344</v>
      </c>
      <c r="G244" s="248" t="s">
        <v>6</v>
      </c>
      <c r="H244" s="248" t="s">
        <v>98</v>
      </c>
      <c r="I244" s="248" t="s">
        <v>404</v>
      </c>
      <c r="J244" s="249">
        <v>0</v>
      </c>
    </row>
    <row r="245" spans="6:10" ht="16" thickBot="1">
      <c r="F245" s="472" t="s">
        <v>344</v>
      </c>
      <c r="G245" s="248" t="s">
        <v>6</v>
      </c>
      <c r="H245" s="248" t="s">
        <v>186</v>
      </c>
      <c r="I245" s="248" t="s">
        <v>405</v>
      </c>
      <c r="J245" s="249">
        <v>0</v>
      </c>
    </row>
    <row r="246" spans="6:10">
      <c r="F246" s="472" t="s">
        <v>344</v>
      </c>
      <c r="G246" s="248" t="s">
        <v>6</v>
      </c>
      <c r="H246" s="248" t="s">
        <v>88</v>
      </c>
      <c r="I246" s="248" t="s">
        <v>406</v>
      </c>
      <c r="J246" s="251">
        <v>0</v>
      </c>
    </row>
    <row r="247" spans="6:10">
      <c r="F247" s="472" t="s">
        <v>344</v>
      </c>
      <c r="G247" s="248" t="s">
        <v>6</v>
      </c>
      <c r="H247" s="248" t="s">
        <v>10</v>
      </c>
      <c r="I247" s="248" t="s">
        <v>407</v>
      </c>
      <c r="J247" s="249">
        <v>0</v>
      </c>
    </row>
    <row r="248" spans="6:10">
      <c r="F248" s="472" t="s">
        <v>344</v>
      </c>
      <c r="G248" s="248" t="s">
        <v>6</v>
      </c>
      <c r="H248" s="107" t="s">
        <v>290</v>
      </c>
      <c r="I248" s="248" t="s">
        <v>408</v>
      </c>
      <c r="J248" s="249">
        <v>0</v>
      </c>
    </row>
    <row r="249" spans="6:10" ht="16" thickBot="1">
      <c r="F249" s="472" t="s">
        <v>344</v>
      </c>
      <c r="G249" s="248" t="s">
        <v>6</v>
      </c>
      <c r="H249" s="248" t="s">
        <v>53</v>
      </c>
      <c r="I249" s="248" t="s">
        <v>409</v>
      </c>
      <c r="J249" s="249">
        <f>B132</f>
        <v>0.12280000000000001</v>
      </c>
    </row>
    <row r="250" spans="6:10">
      <c r="F250" s="243" t="s">
        <v>130</v>
      </c>
      <c r="G250" s="244" t="s">
        <v>6</v>
      </c>
      <c r="H250" s="244" t="s">
        <v>98</v>
      </c>
      <c r="I250" s="244" t="s">
        <v>256</v>
      </c>
      <c r="J250" s="245">
        <v>0</v>
      </c>
    </row>
    <row r="251" spans="6:10">
      <c r="F251" s="243" t="s">
        <v>130</v>
      </c>
      <c r="G251" s="244" t="s">
        <v>6</v>
      </c>
      <c r="H251" s="244" t="s">
        <v>186</v>
      </c>
      <c r="I251" s="244" t="s">
        <v>257</v>
      </c>
      <c r="J251" s="246">
        <v>0</v>
      </c>
    </row>
    <row r="252" spans="6:10">
      <c r="F252" s="243" t="s">
        <v>130</v>
      </c>
      <c r="G252" s="244" t="s">
        <v>6</v>
      </c>
      <c r="H252" s="244" t="s">
        <v>88</v>
      </c>
      <c r="I252" s="244" t="s">
        <v>258</v>
      </c>
      <c r="J252" s="246">
        <v>0</v>
      </c>
    </row>
    <row r="253" spans="6:10">
      <c r="F253" s="243" t="s">
        <v>130</v>
      </c>
      <c r="G253" s="244" t="s">
        <v>6</v>
      </c>
      <c r="H253" s="244" t="s">
        <v>10</v>
      </c>
      <c r="I253" s="244" t="s">
        <v>259</v>
      </c>
      <c r="J253" s="246">
        <v>0</v>
      </c>
    </row>
    <row r="254" spans="6:10">
      <c r="F254" s="243" t="s">
        <v>130</v>
      </c>
      <c r="G254" s="244" t="s">
        <v>6</v>
      </c>
      <c r="H254" s="107" t="s">
        <v>290</v>
      </c>
      <c r="I254" s="244" t="s">
        <v>297</v>
      </c>
      <c r="J254" s="246">
        <v>0</v>
      </c>
    </row>
    <row r="255" spans="6:10">
      <c r="F255" s="243" t="s">
        <v>130</v>
      </c>
      <c r="G255" s="244" t="s">
        <v>6</v>
      </c>
      <c r="H255" s="244" t="s">
        <v>53</v>
      </c>
      <c r="I255" s="244" t="s">
        <v>260</v>
      </c>
      <c r="J255" s="246">
        <f>B131</f>
        <v>0.28160000000000002</v>
      </c>
    </row>
    <row r="256" spans="6:10">
      <c r="F256" s="472" t="s">
        <v>343</v>
      </c>
      <c r="G256" s="248" t="s">
        <v>60</v>
      </c>
      <c r="H256" s="248" t="s">
        <v>98</v>
      </c>
      <c r="I256" s="248" t="s">
        <v>410</v>
      </c>
      <c r="J256" s="249">
        <v>0</v>
      </c>
    </row>
    <row r="257" spans="6:10" ht="16" thickBot="1">
      <c r="F257" s="472" t="s">
        <v>343</v>
      </c>
      <c r="G257" s="248" t="s">
        <v>60</v>
      </c>
      <c r="H257" s="248" t="s">
        <v>186</v>
      </c>
      <c r="I257" s="248" t="s">
        <v>411</v>
      </c>
      <c r="J257" s="249">
        <f>B132</f>
        <v>0.12280000000000001</v>
      </c>
    </row>
    <row r="258" spans="6:10">
      <c r="F258" s="472" t="s">
        <v>343</v>
      </c>
      <c r="G258" s="248" t="s">
        <v>60</v>
      </c>
      <c r="H258" s="248" t="s">
        <v>88</v>
      </c>
      <c r="I258" s="248" t="s">
        <v>412</v>
      </c>
      <c r="J258" s="251">
        <f>B132</f>
        <v>0.12280000000000001</v>
      </c>
    </row>
    <row r="259" spans="6:10">
      <c r="F259" s="472" t="s">
        <v>343</v>
      </c>
      <c r="G259" s="248" t="s">
        <v>60</v>
      </c>
      <c r="H259" s="248" t="s">
        <v>10</v>
      </c>
      <c r="I259" s="248" t="s">
        <v>413</v>
      </c>
      <c r="J259" s="249">
        <f>B131</f>
        <v>0.28160000000000002</v>
      </c>
    </row>
    <row r="260" spans="6:10">
      <c r="F260" s="472" t="s">
        <v>343</v>
      </c>
      <c r="G260" s="248" t="s">
        <v>60</v>
      </c>
      <c r="H260" s="107" t="s">
        <v>290</v>
      </c>
      <c r="I260" s="248" t="s">
        <v>414</v>
      </c>
      <c r="J260" s="249">
        <v>0</v>
      </c>
    </row>
    <row r="261" spans="6:10" ht="16" thickBot="1">
      <c r="F261" s="472" t="s">
        <v>343</v>
      </c>
      <c r="G261" s="248" t="s">
        <v>60</v>
      </c>
      <c r="H261" s="248" t="s">
        <v>53</v>
      </c>
      <c r="I261" s="248" t="s">
        <v>415</v>
      </c>
      <c r="J261" s="249">
        <f>B132</f>
        <v>0.12280000000000001</v>
      </c>
    </row>
    <row r="262" spans="6:10">
      <c r="F262" s="472" t="s">
        <v>342</v>
      </c>
      <c r="G262" s="244" t="s">
        <v>60</v>
      </c>
      <c r="H262" s="244" t="s">
        <v>98</v>
      </c>
      <c r="I262" s="244" t="s">
        <v>416</v>
      </c>
      <c r="J262" s="245">
        <v>0</v>
      </c>
    </row>
    <row r="263" spans="6:10">
      <c r="F263" s="472" t="s">
        <v>342</v>
      </c>
      <c r="G263" s="244" t="s">
        <v>60</v>
      </c>
      <c r="H263" s="244" t="s">
        <v>186</v>
      </c>
      <c r="I263" s="244" t="s">
        <v>417</v>
      </c>
      <c r="J263" s="246">
        <f>B132</f>
        <v>0.12280000000000001</v>
      </c>
    </row>
    <row r="264" spans="6:10">
      <c r="F264" s="472" t="s">
        <v>342</v>
      </c>
      <c r="G264" s="244" t="s">
        <v>60</v>
      </c>
      <c r="H264" s="244" t="s">
        <v>88</v>
      </c>
      <c r="I264" s="244" t="s">
        <v>418</v>
      </c>
      <c r="J264" s="246">
        <f>B132</f>
        <v>0.12280000000000001</v>
      </c>
    </row>
    <row r="265" spans="6:10">
      <c r="F265" s="472" t="s">
        <v>342</v>
      </c>
      <c r="G265" s="244" t="s">
        <v>60</v>
      </c>
      <c r="H265" s="244" t="s">
        <v>10</v>
      </c>
      <c r="I265" s="244" t="s">
        <v>419</v>
      </c>
      <c r="J265" s="246">
        <f>B132</f>
        <v>0.12280000000000001</v>
      </c>
    </row>
    <row r="266" spans="6:10">
      <c r="F266" s="472" t="s">
        <v>342</v>
      </c>
      <c r="G266" s="244" t="s">
        <v>60</v>
      </c>
      <c r="H266" s="107" t="s">
        <v>290</v>
      </c>
      <c r="I266" s="244" t="s">
        <v>420</v>
      </c>
      <c r="J266" s="246">
        <v>0</v>
      </c>
    </row>
    <row r="267" spans="6:10">
      <c r="F267" s="472" t="s">
        <v>342</v>
      </c>
      <c r="G267" s="244" t="s">
        <v>60</v>
      </c>
      <c r="H267" s="244" t="s">
        <v>53</v>
      </c>
      <c r="I267" s="244" t="s">
        <v>421</v>
      </c>
      <c r="J267" s="246">
        <f>B132</f>
        <v>0.12280000000000001</v>
      </c>
    </row>
    <row r="268" spans="6:10">
      <c r="F268" s="247" t="s">
        <v>59</v>
      </c>
      <c r="G268" s="248" t="s">
        <v>60</v>
      </c>
      <c r="H268" s="248" t="s">
        <v>98</v>
      </c>
      <c r="I268" s="248" t="s">
        <v>261</v>
      </c>
      <c r="J268" s="249">
        <v>0</v>
      </c>
    </row>
    <row r="269" spans="6:10" ht="16" thickBot="1">
      <c r="F269" s="250" t="s">
        <v>59</v>
      </c>
      <c r="G269" s="248" t="s">
        <v>60</v>
      </c>
      <c r="H269" s="248" t="s">
        <v>186</v>
      </c>
      <c r="I269" s="248" t="s">
        <v>262</v>
      </c>
      <c r="J269" s="249">
        <f>B130</f>
        <v>0.03</v>
      </c>
    </row>
    <row r="270" spans="6:10">
      <c r="F270" s="250" t="s">
        <v>59</v>
      </c>
      <c r="G270" s="248" t="s">
        <v>60</v>
      </c>
      <c r="H270" s="248" t="s">
        <v>88</v>
      </c>
      <c r="I270" s="248" t="s">
        <v>263</v>
      </c>
      <c r="J270" s="251">
        <f>B130</f>
        <v>0.03</v>
      </c>
    </row>
    <row r="271" spans="6:10">
      <c r="F271" s="250" t="s">
        <v>59</v>
      </c>
      <c r="G271" s="248" t="s">
        <v>60</v>
      </c>
      <c r="H271" s="248" t="s">
        <v>10</v>
      </c>
      <c r="I271" s="248" t="s">
        <v>264</v>
      </c>
      <c r="J271" s="249">
        <f>B129</f>
        <v>0</v>
      </c>
    </row>
    <row r="272" spans="6:10">
      <c r="F272" s="250" t="s">
        <v>59</v>
      </c>
      <c r="G272" s="248" t="s">
        <v>60</v>
      </c>
      <c r="H272" s="107" t="s">
        <v>290</v>
      </c>
      <c r="I272" s="248" t="s">
        <v>298</v>
      </c>
      <c r="J272" s="249">
        <v>0</v>
      </c>
    </row>
    <row r="273" spans="6:10" ht="16" thickBot="1">
      <c r="F273" s="250" t="s">
        <v>59</v>
      </c>
      <c r="G273" s="248" t="s">
        <v>60</v>
      </c>
      <c r="H273" s="248" t="s">
        <v>53</v>
      </c>
      <c r="I273" s="248" t="s">
        <v>265</v>
      </c>
      <c r="J273" s="249">
        <f>B130</f>
        <v>0.03</v>
      </c>
    </row>
    <row r="274" spans="6:10">
      <c r="F274" s="472" t="s">
        <v>344</v>
      </c>
      <c r="G274" s="244" t="s">
        <v>60</v>
      </c>
      <c r="H274" s="244" t="s">
        <v>98</v>
      </c>
      <c r="I274" s="244" t="s">
        <v>422</v>
      </c>
      <c r="J274" s="245">
        <v>0</v>
      </c>
    </row>
    <row r="275" spans="6:10">
      <c r="F275" s="472" t="s">
        <v>344</v>
      </c>
      <c r="G275" s="244" t="s">
        <v>60</v>
      </c>
      <c r="H275" s="244" t="s">
        <v>186</v>
      </c>
      <c r="I275" s="244" t="s">
        <v>423</v>
      </c>
      <c r="J275" s="246">
        <f>B132</f>
        <v>0.12280000000000001</v>
      </c>
    </row>
    <row r="276" spans="6:10">
      <c r="F276" s="472" t="s">
        <v>344</v>
      </c>
      <c r="G276" s="244" t="s">
        <v>60</v>
      </c>
      <c r="H276" s="244" t="s">
        <v>88</v>
      </c>
      <c r="I276" s="244" t="s">
        <v>424</v>
      </c>
      <c r="J276" s="246">
        <f>B132</f>
        <v>0.12280000000000001</v>
      </c>
    </row>
    <row r="277" spans="6:10">
      <c r="F277" s="472" t="s">
        <v>344</v>
      </c>
      <c r="G277" s="244" t="s">
        <v>60</v>
      </c>
      <c r="H277" s="244" t="s">
        <v>10</v>
      </c>
      <c r="I277" s="244" t="s">
        <v>425</v>
      </c>
      <c r="J277" s="246">
        <f>B131</f>
        <v>0.28160000000000002</v>
      </c>
    </row>
    <row r="278" spans="6:10">
      <c r="F278" s="472" t="s">
        <v>344</v>
      </c>
      <c r="G278" s="244" t="s">
        <v>60</v>
      </c>
      <c r="H278" s="107" t="s">
        <v>290</v>
      </c>
      <c r="I278" s="244" t="s">
        <v>426</v>
      </c>
      <c r="J278" s="246">
        <v>0</v>
      </c>
    </row>
    <row r="279" spans="6:10">
      <c r="F279" s="472" t="s">
        <v>344</v>
      </c>
      <c r="G279" s="244" t="s">
        <v>60</v>
      </c>
      <c r="H279" s="244" t="s">
        <v>53</v>
      </c>
      <c r="I279" s="244" t="s">
        <v>427</v>
      </c>
      <c r="J279" s="246">
        <f>B132</f>
        <v>0.12280000000000001</v>
      </c>
    </row>
    <row r="280" spans="6:10">
      <c r="F280" s="247" t="s">
        <v>130</v>
      </c>
      <c r="G280" s="248" t="s">
        <v>60</v>
      </c>
      <c r="H280" s="248" t="s">
        <v>98</v>
      </c>
      <c r="I280" s="248" t="s">
        <v>266</v>
      </c>
      <c r="J280" s="249">
        <v>0</v>
      </c>
    </row>
    <row r="281" spans="6:10" ht="16" thickBot="1">
      <c r="F281" s="250" t="s">
        <v>130</v>
      </c>
      <c r="G281" s="248" t="s">
        <v>60</v>
      </c>
      <c r="H281" s="248" t="s">
        <v>186</v>
      </c>
      <c r="I281" s="248" t="s">
        <v>267</v>
      </c>
      <c r="J281" s="249">
        <f>B131</f>
        <v>0.28160000000000002</v>
      </c>
    </row>
    <row r="282" spans="6:10">
      <c r="F282" s="250" t="s">
        <v>130</v>
      </c>
      <c r="G282" s="248" t="s">
        <v>60</v>
      </c>
      <c r="H282" s="248" t="s">
        <v>88</v>
      </c>
      <c r="I282" s="248" t="s">
        <v>268</v>
      </c>
      <c r="J282" s="251">
        <f>B131</f>
        <v>0.28160000000000002</v>
      </c>
    </row>
    <row r="283" spans="6:10">
      <c r="F283" s="250" t="s">
        <v>130</v>
      </c>
      <c r="G283" s="248" t="s">
        <v>60</v>
      </c>
      <c r="H283" s="248" t="s">
        <v>10</v>
      </c>
      <c r="I283" s="248" t="s">
        <v>269</v>
      </c>
      <c r="J283" s="249">
        <f>B131</f>
        <v>0.28160000000000002</v>
      </c>
    </row>
    <row r="284" spans="6:10">
      <c r="F284" s="250" t="s">
        <v>130</v>
      </c>
      <c r="G284" s="248" t="s">
        <v>60</v>
      </c>
      <c r="H284" s="107" t="s">
        <v>290</v>
      </c>
      <c r="I284" s="248" t="s">
        <v>299</v>
      </c>
      <c r="J284" s="249">
        <v>0</v>
      </c>
    </row>
    <row r="285" spans="6:10">
      <c r="F285" s="250" t="s">
        <v>130</v>
      </c>
      <c r="G285" s="248" t="s">
        <v>60</v>
      </c>
      <c r="H285" s="248" t="s">
        <v>53</v>
      </c>
      <c r="I285" s="248" t="s">
        <v>270</v>
      </c>
      <c r="J285" s="249">
        <f>B131</f>
        <v>0.28160000000000002</v>
      </c>
    </row>
    <row r="286" spans="6:10">
      <c r="F286" s="252" t="s">
        <v>197</v>
      </c>
      <c r="G286" s="248" t="s">
        <v>60</v>
      </c>
      <c r="H286" s="248" t="s">
        <v>98</v>
      </c>
      <c r="I286" s="248" t="s">
        <v>271</v>
      </c>
      <c r="J286" s="249">
        <v>0</v>
      </c>
    </row>
    <row r="287" spans="6:10">
      <c r="F287" s="252" t="s">
        <v>197</v>
      </c>
      <c r="G287" s="248" t="s">
        <v>60</v>
      </c>
      <c r="H287" s="248" t="s">
        <v>186</v>
      </c>
      <c r="I287" s="248" t="s">
        <v>272</v>
      </c>
      <c r="J287" s="249">
        <f t="shared" ref="J287:J291" si="0">B$33</f>
        <v>0.12280000000000001</v>
      </c>
    </row>
    <row r="288" spans="6:10">
      <c r="F288" s="252" t="s">
        <v>197</v>
      </c>
      <c r="G288" s="248" t="s">
        <v>60</v>
      </c>
      <c r="H288" s="248" t="s">
        <v>88</v>
      </c>
      <c r="I288" s="248" t="s">
        <v>273</v>
      </c>
      <c r="J288" s="249">
        <f t="shared" si="0"/>
        <v>0.12280000000000001</v>
      </c>
    </row>
    <row r="289" spans="6:10">
      <c r="F289" s="252" t="s">
        <v>197</v>
      </c>
      <c r="G289" s="248" t="s">
        <v>60</v>
      </c>
      <c r="H289" s="248" t="s">
        <v>10</v>
      </c>
      <c r="I289" s="248" t="s">
        <v>274</v>
      </c>
      <c r="J289" s="249">
        <f t="shared" si="0"/>
        <v>0.12280000000000001</v>
      </c>
    </row>
    <row r="290" spans="6:10">
      <c r="F290" s="252" t="s">
        <v>197</v>
      </c>
      <c r="G290" s="248" t="s">
        <v>60</v>
      </c>
      <c r="H290" s="107" t="s">
        <v>290</v>
      </c>
      <c r="I290" s="248" t="s">
        <v>300</v>
      </c>
      <c r="J290" s="249">
        <v>0</v>
      </c>
    </row>
    <row r="291" spans="6:10">
      <c r="F291" s="252" t="s">
        <v>197</v>
      </c>
      <c r="G291" s="248" t="s">
        <v>60</v>
      </c>
      <c r="H291" s="248" t="s">
        <v>53</v>
      </c>
      <c r="I291" s="248" t="s">
        <v>275</v>
      </c>
      <c r="J291" s="249">
        <f t="shared" si="0"/>
        <v>0.12280000000000001</v>
      </c>
    </row>
    <row r="292" spans="6:10">
      <c r="F292" s="252" t="s">
        <v>197</v>
      </c>
      <c r="G292" s="248" t="s">
        <v>6</v>
      </c>
      <c r="H292" s="248" t="s">
        <v>98</v>
      </c>
      <c r="I292" s="248" t="s">
        <v>276</v>
      </c>
      <c r="J292" s="249">
        <v>0</v>
      </c>
    </row>
    <row r="293" spans="6:10">
      <c r="F293" s="252" t="s">
        <v>197</v>
      </c>
      <c r="G293" s="248" t="s">
        <v>6</v>
      </c>
      <c r="H293" s="248" t="s">
        <v>186</v>
      </c>
      <c r="I293" s="248" t="s">
        <v>277</v>
      </c>
      <c r="J293" s="249">
        <v>0</v>
      </c>
    </row>
    <row r="294" spans="6:10">
      <c r="F294" s="252" t="s">
        <v>197</v>
      </c>
      <c r="G294" s="248" t="s">
        <v>6</v>
      </c>
      <c r="H294" s="248" t="s">
        <v>88</v>
      </c>
      <c r="I294" s="248" t="s">
        <v>278</v>
      </c>
      <c r="J294" s="249">
        <f t="shared" ref="J294:J297" si="1">B$33</f>
        <v>0.12280000000000001</v>
      </c>
    </row>
    <row r="295" spans="6:10">
      <c r="F295" s="252" t="s">
        <v>197</v>
      </c>
      <c r="G295" s="248" t="s">
        <v>6</v>
      </c>
      <c r="H295" s="248" t="s">
        <v>10</v>
      </c>
      <c r="I295" s="248" t="s">
        <v>279</v>
      </c>
      <c r="J295" s="249">
        <f t="shared" ref="J295" si="2">B$33</f>
        <v>0.12280000000000001</v>
      </c>
    </row>
    <row r="296" spans="6:10">
      <c r="F296" s="252" t="s">
        <v>197</v>
      </c>
      <c r="G296" s="248" t="s">
        <v>6</v>
      </c>
      <c r="H296" s="107" t="s">
        <v>290</v>
      </c>
      <c r="I296" s="248" t="s">
        <v>301</v>
      </c>
      <c r="J296" s="249">
        <v>0</v>
      </c>
    </row>
    <row r="297" spans="6:10">
      <c r="F297" s="252" t="s">
        <v>197</v>
      </c>
      <c r="G297" s="253" t="s">
        <v>6</v>
      </c>
      <c r="H297" s="253" t="s">
        <v>53</v>
      </c>
      <c r="I297" s="253" t="s">
        <v>280</v>
      </c>
      <c r="J297" s="254">
        <f t="shared" si="1"/>
        <v>0.12280000000000001</v>
      </c>
    </row>
    <row r="298" spans="6:10">
      <c r="F298" s="255" t="s">
        <v>133</v>
      </c>
      <c r="G298" s="256" t="s">
        <v>6</v>
      </c>
      <c r="H298" s="257" t="s">
        <v>53</v>
      </c>
      <c r="I298" s="256" t="str">
        <f>F298&amp;G298&amp;H298</f>
        <v>GinYOther</v>
      </c>
      <c r="J298" s="258">
        <f>B$125</f>
        <v>4.9200000000000001E-2</v>
      </c>
    </row>
    <row r="299" spans="6:10">
      <c r="F299" s="255" t="s">
        <v>133</v>
      </c>
      <c r="G299" s="256" t="s">
        <v>6</v>
      </c>
      <c r="H299" s="257" t="s">
        <v>98</v>
      </c>
      <c r="I299" s="256" t="str">
        <f t="shared" ref="I299:I302" si="3">F299&amp;G299&amp;H299</f>
        <v>GinYDomestic</v>
      </c>
      <c r="J299" s="256">
        <v>0</v>
      </c>
    </row>
    <row r="300" spans="6:10">
      <c r="F300" s="255" t="s">
        <v>133</v>
      </c>
      <c r="G300" s="256" t="s">
        <v>6</v>
      </c>
      <c r="H300" s="257" t="s">
        <v>186</v>
      </c>
      <c r="I300" s="256" t="str">
        <f t="shared" si="3"/>
        <v>GinYCUSMA</v>
      </c>
      <c r="J300" s="256">
        <v>0</v>
      </c>
    </row>
    <row r="301" spans="6:10">
      <c r="F301" s="255" t="s">
        <v>133</v>
      </c>
      <c r="G301" s="256" t="s">
        <v>6</v>
      </c>
      <c r="H301" s="257" t="s">
        <v>88</v>
      </c>
      <c r="I301" s="256" t="str">
        <f t="shared" si="3"/>
        <v>GinYEU/CETA</v>
      </c>
      <c r="J301" s="258">
        <v>0</v>
      </c>
    </row>
    <row r="302" spans="6:10">
      <c r="F302" s="255" t="s">
        <v>133</v>
      </c>
      <c r="G302" s="256" t="s">
        <v>6</v>
      </c>
      <c r="H302" s="257" t="s">
        <v>10</v>
      </c>
      <c r="I302" s="256" t="str">
        <f t="shared" si="3"/>
        <v>GinYCPTPP</v>
      </c>
      <c r="J302" s="258">
        <v>0</v>
      </c>
    </row>
    <row r="303" spans="6:10">
      <c r="F303" s="255" t="s">
        <v>133</v>
      </c>
      <c r="G303" s="256" t="s">
        <v>60</v>
      </c>
      <c r="H303" s="257" t="s">
        <v>53</v>
      </c>
      <c r="I303" s="256" t="str">
        <f>F303&amp;G303&amp;H303</f>
        <v>GinNOther</v>
      </c>
      <c r="J303" s="258">
        <f t="shared" ref="J303:J307" si="4">B$125</f>
        <v>4.9200000000000001E-2</v>
      </c>
    </row>
    <row r="304" spans="6:10">
      <c r="F304" s="255" t="s">
        <v>133</v>
      </c>
      <c r="G304" s="256" t="s">
        <v>60</v>
      </c>
      <c r="H304" s="257" t="s">
        <v>98</v>
      </c>
      <c r="I304" s="256" t="str">
        <f t="shared" ref="I304:I308" si="5">F304&amp;G304&amp;H304</f>
        <v>GinNDomestic</v>
      </c>
      <c r="J304" s="258">
        <v>0</v>
      </c>
    </row>
    <row r="305" spans="6:10">
      <c r="F305" s="255" t="s">
        <v>133</v>
      </c>
      <c r="G305" s="256" t="s">
        <v>60</v>
      </c>
      <c r="H305" s="257" t="s">
        <v>186</v>
      </c>
      <c r="I305" s="256" t="str">
        <f t="shared" si="5"/>
        <v>GinNCUSMA</v>
      </c>
      <c r="J305" s="258">
        <f t="shared" si="4"/>
        <v>4.9200000000000001E-2</v>
      </c>
    </row>
    <row r="306" spans="6:10">
      <c r="F306" s="255" t="s">
        <v>133</v>
      </c>
      <c r="G306" s="256" t="s">
        <v>60</v>
      </c>
      <c r="H306" s="257" t="s">
        <v>88</v>
      </c>
      <c r="I306" s="256" t="str">
        <f t="shared" si="5"/>
        <v>GinNEU/CETA</v>
      </c>
      <c r="J306" s="258">
        <f t="shared" si="4"/>
        <v>4.9200000000000001E-2</v>
      </c>
    </row>
    <row r="307" spans="6:10">
      <c r="F307" s="255" t="s">
        <v>133</v>
      </c>
      <c r="G307" s="256" t="s">
        <v>60</v>
      </c>
      <c r="H307" s="257" t="s">
        <v>10</v>
      </c>
      <c r="I307" s="256" t="str">
        <f t="shared" si="5"/>
        <v>GinNCPTPP</v>
      </c>
      <c r="J307" s="258">
        <f t="shared" si="4"/>
        <v>4.9200000000000001E-2</v>
      </c>
    </row>
    <row r="308" spans="6:10">
      <c r="F308" s="255" t="s">
        <v>133</v>
      </c>
      <c r="G308" s="256" t="s">
        <v>6</v>
      </c>
      <c r="H308" s="107" t="s">
        <v>290</v>
      </c>
      <c r="I308" s="256" t="str">
        <f t="shared" si="5"/>
        <v>GinYCUFTA</v>
      </c>
      <c r="J308" s="258">
        <v>0</v>
      </c>
    </row>
    <row r="309" spans="6:10">
      <c r="F309" s="255" t="s">
        <v>133</v>
      </c>
      <c r="G309" s="256" t="s">
        <v>60</v>
      </c>
      <c r="H309" s="107" t="s">
        <v>290</v>
      </c>
      <c r="I309" s="256" t="str">
        <f>F309&amp;G309&amp;H309</f>
        <v>GinNCUFTA</v>
      </c>
      <c r="J309" s="258">
        <v>0</v>
      </c>
    </row>
    <row r="310" spans="6:10">
      <c r="F310" s="259" t="s">
        <v>178</v>
      </c>
      <c r="G310" s="260" t="s">
        <v>6</v>
      </c>
      <c r="H310" s="261" t="s">
        <v>53</v>
      </c>
      <c r="I310" s="260" t="str">
        <f>F310&amp;G310&amp;H310</f>
        <v>Vodka, Liqueurs, and OtherYOther</v>
      </c>
      <c r="J310" s="262">
        <f>B$126</f>
        <v>0.12280000000000001</v>
      </c>
    </row>
    <row r="311" spans="6:10">
      <c r="F311" s="259" t="s">
        <v>178</v>
      </c>
      <c r="G311" s="260" t="s">
        <v>6</v>
      </c>
      <c r="H311" s="261" t="s">
        <v>98</v>
      </c>
      <c r="I311" s="260" t="str">
        <f t="shared" ref="I311:I314" si="6">F311&amp;G311&amp;H311</f>
        <v>Vodka, Liqueurs, and OtherYDomestic</v>
      </c>
      <c r="J311" s="260">
        <v>0</v>
      </c>
    </row>
    <row r="312" spans="6:10">
      <c r="F312" s="259" t="s">
        <v>178</v>
      </c>
      <c r="G312" s="260" t="s">
        <v>6</v>
      </c>
      <c r="H312" s="261" t="s">
        <v>186</v>
      </c>
      <c r="I312" s="260" t="str">
        <f t="shared" si="6"/>
        <v>Vodka, Liqueurs, and OtherYCUSMA</v>
      </c>
      <c r="J312" s="260">
        <v>0</v>
      </c>
    </row>
    <row r="313" spans="6:10">
      <c r="F313" s="259" t="s">
        <v>178</v>
      </c>
      <c r="G313" s="260" t="s">
        <v>6</v>
      </c>
      <c r="H313" s="261" t="s">
        <v>88</v>
      </c>
      <c r="I313" s="260" t="str">
        <f t="shared" si="6"/>
        <v>Vodka, Liqueurs, and OtherYEU/CETA</v>
      </c>
      <c r="J313" s="262">
        <v>0</v>
      </c>
    </row>
    <row r="314" spans="6:10">
      <c r="F314" s="259" t="s">
        <v>178</v>
      </c>
      <c r="G314" s="260" t="s">
        <v>6</v>
      </c>
      <c r="H314" s="261" t="s">
        <v>10</v>
      </c>
      <c r="I314" s="260" t="str">
        <f t="shared" si="6"/>
        <v>Vodka, Liqueurs, and OtherYCPTPP</v>
      </c>
      <c r="J314" s="262">
        <v>0</v>
      </c>
    </row>
    <row r="315" spans="6:10">
      <c r="F315" s="259" t="s">
        <v>178</v>
      </c>
      <c r="G315" s="260" t="s">
        <v>60</v>
      </c>
      <c r="H315" s="261" t="s">
        <v>53</v>
      </c>
      <c r="I315" s="260" t="str">
        <f>F315&amp;G315&amp;H315</f>
        <v>Vodka, Liqueurs, and OtherNOther</v>
      </c>
      <c r="J315" s="262">
        <f t="shared" ref="J315:J319" si="7">B$126</f>
        <v>0.12280000000000001</v>
      </c>
    </row>
    <row r="316" spans="6:10">
      <c r="F316" s="259" t="s">
        <v>178</v>
      </c>
      <c r="G316" s="260" t="s">
        <v>60</v>
      </c>
      <c r="H316" s="261" t="s">
        <v>98</v>
      </c>
      <c r="I316" s="260" t="str">
        <f t="shared" ref="I316:I320" si="8">F316&amp;G316&amp;H316</f>
        <v>Vodka, Liqueurs, and OtherNDomestic</v>
      </c>
      <c r="J316" s="262">
        <v>0</v>
      </c>
    </row>
    <row r="317" spans="6:10">
      <c r="F317" s="259" t="s">
        <v>178</v>
      </c>
      <c r="G317" s="260" t="s">
        <v>60</v>
      </c>
      <c r="H317" s="261" t="s">
        <v>186</v>
      </c>
      <c r="I317" s="260" t="str">
        <f t="shared" si="8"/>
        <v>Vodka, Liqueurs, and OtherNCUSMA</v>
      </c>
      <c r="J317" s="262">
        <f t="shared" si="7"/>
        <v>0.12280000000000001</v>
      </c>
    </row>
    <row r="318" spans="6:10">
      <c r="F318" s="259" t="s">
        <v>178</v>
      </c>
      <c r="G318" s="260" t="s">
        <v>60</v>
      </c>
      <c r="H318" s="261" t="s">
        <v>88</v>
      </c>
      <c r="I318" s="260" t="str">
        <f t="shared" si="8"/>
        <v>Vodka, Liqueurs, and OtherNEU/CETA</v>
      </c>
      <c r="J318" s="262">
        <f t="shared" si="7"/>
        <v>0.12280000000000001</v>
      </c>
    </row>
    <row r="319" spans="6:10">
      <c r="F319" s="259" t="s">
        <v>178</v>
      </c>
      <c r="G319" s="260" t="s">
        <v>60</v>
      </c>
      <c r="H319" s="261" t="s">
        <v>10</v>
      </c>
      <c r="I319" s="260" t="str">
        <f t="shared" si="8"/>
        <v>Vodka, Liqueurs, and OtherNCPTPP</v>
      </c>
      <c r="J319" s="262">
        <f t="shared" si="7"/>
        <v>0.12280000000000001</v>
      </c>
    </row>
    <row r="320" spans="6:10">
      <c r="F320" s="259" t="s">
        <v>178</v>
      </c>
      <c r="G320" s="260" t="s">
        <v>6</v>
      </c>
      <c r="H320" s="107" t="s">
        <v>290</v>
      </c>
      <c r="I320" s="260" t="str">
        <f t="shared" si="8"/>
        <v>Vodka, Liqueurs, and OtherYCUFTA</v>
      </c>
      <c r="J320" s="262">
        <v>0</v>
      </c>
    </row>
    <row r="321" spans="6:10">
      <c r="F321" s="259" t="s">
        <v>178</v>
      </c>
      <c r="G321" s="260" t="s">
        <v>60</v>
      </c>
      <c r="H321" s="107" t="s">
        <v>290</v>
      </c>
      <c r="I321" s="260" t="str">
        <f>F321&amp;G321&amp;H321</f>
        <v>Vodka, Liqueurs, and OtherNCUFTA</v>
      </c>
      <c r="J321" s="262">
        <v>0</v>
      </c>
    </row>
    <row r="322" spans="6:10">
      <c r="F322" s="255" t="s">
        <v>51</v>
      </c>
      <c r="G322" s="256" t="s">
        <v>6</v>
      </c>
      <c r="H322" s="257" t="s">
        <v>53</v>
      </c>
      <c r="I322" s="256" t="str">
        <f>F322&amp;G322&amp;H322</f>
        <v>RumYOther</v>
      </c>
      <c r="J322" s="258">
        <f>B$127</f>
        <v>0.24560000000000001</v>
      </c>
    </row>
    <row r="323" spans="6:10">
      <c r="F323" s="255" t="s">
        <v>51</v>
      </c>
      <c r="G323" s="256" t="s">
        <v>6</v>
      </c>
      <c r="H323" s="257" t="s">
        <v>98</v>
      </c>
      <c r="I323" s="256" t="str">
        <f t="shared" ref="I323:I326" si="9">F323&amp;G323&amp;H323</f>
        <v>RumYDomestic</v>
      </c>
      <c r="J323" s="256">
        <v>0</v>
      </c>
    </row>
    <row r="324" spans="6:10">
      <c r="F324" s="255" t="s">
        <v>51</v>
      </c>
      <c r="G324" s="256" t="s">
        <v>6</v>
      </c>
      <c r="H324" s="257" t="s">
        <v>186</v>
      </c>
      <c r="I324" s="256" t="str">
        <f t="shared" si="9"/>
        <v>RumYCUSMA</v>
      </c>
      <c r="J324" s="256">
        <v>0</v>
      </c>
    </row>
    <row r="325" spans="6:10">
      <c r="F325" s="255" t="s">
        <v>51</v>
      </c>
      <c r="G325" s="256" t="s">
        <v>6</v>
      </c>
      <c r="H325" s="257" t="s">
        <v>88</v>
      </c>
      <c r="I325" s="256" t="str">
        <f t="shared" si="9"/>
        <v>RumYEU/CETA</v>
      </c>
      <c r="J325" s="258">
        <v>0</v>
      </c>
    </row>
    <row r="326" spans="6:10">
      <c r="F326" s="255" t="s">
        <v>51</v>
      </c>
      <c r="G326" s="256" t="s">
        <v>6</v>
      </c>
      <c r="H326" s="257" t="s">
        <v>10</v>
      </c>
      <c r="I326" s="256" t="str">
        <f t="shared" si="9"/>
        <v>RumYCPTPP</v>
      </c>
      <c r="J326" s="258">
        <v>0</v>
      </c>
    </row>
    <row r="327" spans="6:10">
      <c r="F327" s="255" t="s">
        <v>51</v>
      </c>
      <c r="G327" s="256" t="s">
        <v>60</v>
      </c>
      <c r="H327" s="257" t="s">
        <v>53</v>
      </c>
      <c r="I327" s="256" t="str">
        <f>F327&amp;G327&amp;H327</f>
        <v>RumNOther</v>
      </c>
      <c r="J327" s="258">
        <f t="shared" ref="J327:J331" si="10">B$127</f>
        <v>0.24560000000000001</v>
      </c>
    </row>
    <row r="328" spans="6:10">
      <c r="F328" s="255" t="s">
        <v>51</v>
      </c>
      <c r="G328" s="256" t="s">
        <v>60</v>
      </c>
      <c r="H328" s="257" t="s">
        <v>98</v>
      </c>
      <c r="I328" s="256" t="str">
        <f t="shared" ref="I328:I332" si="11">F328&amp;G328&amp;H328</f>
        <v>RumNDomestic</v>
      </c>
      <c r="J328" s="258">
        <v>0</v>
      </c>
    </row>
    <row r="329" spans="6:10">
      <c r="F329" s="255" t="s">
        <v>51</v>
      </c>
      <c r="G329" s="256" t="s">
        <v>60</v>
      </c>
      <c r="H329" s="257" t="s">
        <v>186</v>
      </c>
      <c r="I329" s="256" t="str">
        <f t="shared" si="11"/>
        <v>RumNCUSMA</v>
      </c>
      <c r="J329" s="258">
        <f t="shared" si="10"/>
        <v>0.24560000000000001</v>
      </c>
    </row>
    <row r="330" spans="6:10">
      <c r="F330" s="255" t="s">
        <v>51</v>
      </c>
      <c r="G330" s="256" t="s">
        <v>60</v>
      </c>
      <c r="H330" s="257" t="s">
        <v>88</v>
      </c>
      <c r="I330" s="256" t="str">
        <f t="shared" si="11"/>
        <v>RumNEU/CETA</v>
      </c>
      <c r="J330" s="258">
        <f t="shared" si="10"/>
        <v>0.24560000000000001</v>
      </c>
    </row>
    <row r="331" spans="6:10">
      <c r="F331" s="255" t="s">
        <v>51</v>
      </c>
      <c r="G331" s="256" t="s">
        <v>60</v>
      </c>
      <c r="H331" s="257" t="s">
        <v>10</v>
      </c>
      <c r="I331" s="256" t="str">
        <f t="shared" si="11"/>
        <v>RumNCPTPP</v>
      </c>
      <c r="J331" s="258">
        <f t="shared" si="10"/>
        <v>0.24560000000000001</v>
      </c>
    </row>
    <row r="332" spans="6:10">
      <c r="F332" s="255" t="s">
        <v>51</v>
      </c>
      <c r="G332" s="256" t="s">
        <v>6</v>
      </c>
      <c r="H332" s="107" t="s">
        <v>290</v>
      </c>
      <c r="I332" s="256" t="str">
        <f t="shared" si="11"/>
        <v>RumYCUFTA</v>
      </c>
      <c r="J332" s="258">
        <v>0</v>
      </c>
    </row>
    <row r="333" spans="6:10">
      <c r="F333" s="255" t="s">
        <v>51</v>
      </c>
      <c r="G333" s="256" t="s">
        <v>60</v>
      </c>
      <c r="H333" s="107" t="s">
        <v>290</v>
      </c>
      <c r="I333" s="256" t="str">
        <f>F333&amp;G333&amp;H333</f>
        <v>RumNCUFTA</v>
      </c>
      <c r="J333" s="258">
        <v>0</v>
      </c>
    </row>
    <row r="334" spans="6:10">
      <c r="F334" s="263" t="s">
        <v>131</v>
      </c>
      <c r="G334" s="256" t="s">
        <v>6</v>
      </c>
      <c r="H334" s="257" t="s">
        <v>53</v>
      </c>
      <c r="I334" s="256" t="str">
        <f>F334&amp;G334&amp;H334</f>
        <v>Whisky, Tequila, BrandyYOther</v>
      </c>
      <c r="J334" s="258">
        <v>0</v>
      </c>
    </row>
    <row r="335" spans="6:10">
      <c r="F335" s="263" t="s">
        <v>131</v>
      </c>
      <c r="G335" s="256" t="s">
        <v>6</v>
      </c>
      <c r="H335" s="257" t="s">
        <v>98</v>
      </c>
      <c r="I335" s="256" t="str">
        <f t="shared" ref="I335:I338" si="12">F335&amp;G335&amp;H335</f>
        <v>Whisky, Tequila, BrandyYDomestic</v>
      </c>
      <c r="J335" s="258">
        <v>0</v>
      </c>
    </row>
    <row r="336" spans="6:10">
      <c r="F336" s="263" t="s">
        <v>131</v>
      </c>
      <c r="G336" s="256" t="s">
        <v>6</v>
      </c>
      <c r="H336" s="257" t="s">
        <v>186</v>
      </c>
      <c r="I336" s="256" t="str">
        <f t="shared" si="12"/>
        <v>Whisky, Tequila, BrandyYCUSMA</v>
      </c>
      <c r="J336" s="258">
        <v>0</v>
      </c>
    </row>
    <row r="337" spans="6:10">
      <c r="F337" s="263" t="s">
        <v>131</v>
      </c>
      <c r="G337" s="256" t="s">
        <v>6</v>
      </c>
      <c r="H337" s="257" t="s">
        <v>88</v>
      </c>
      <c r="I337" s="256" t="str">
        <f t="shared" si="12"/>
        <v>Whisky, Tequila, BrandyYEU/CETA</v>
      </c>
      <c r="J337" s="258">
        <v>0</v>
      </c>
    </row>
    <row r="338" spans="6:10">
      <c r="F338" s="263" t="s">
        <v>131</v>
      </c>
      <c r="G338" s="256" t="s">
        <v>6</v>
      </c>
      <c r="H338" s="257" t="s">
        <v>10</v>
      </c>
      <c r="I338" s="256" t="str">
        <f t="shared" si="12"/>
        <v>Whisky, Tequila, BrandyYCPTPP</v>
      </c>
      <c r="J338" s="258">
        <v>0</v>
      </c>
    </row>
    <row r="339" spans="6:10">
      <c r="F339" s="263" t="s">
        <v>131</v>
      </c>
      <c r="G339" s="256" t="s">
        <v>60</v>
      </c>
      <c r="H339" s="257" t="s">
        <v>53</v>
      </c>
      <c r="I339" s="256" t="str">
        <f>F339&amp;G339&amp;H339</f>
        <v>Whisky, Tequila, BrandyNOther</v>
      </c>
      <c r="J339" s="258">
        <v>0</v>
      </c>
    </row>
    <row r="340" spans="6:10">
      <c r="F340" s="263" t="s">
        <v>131</v>
      </c>
      <c r="G340" s="256" t="s">
        <v>60</v>
      </c>
      <c r="H340" s="257" t="s">
        <v>98</v>
      </c>
      <c r="I340" s="256" t="str">
        <f t="shared" ref="I340:I344" si="13">F340&amp;G340&amp;H340</f>
        <v>Whisky, Tequila, BrandyNDomestic</v>
      </c>
      <c r="J340" s="258">
        <v>0</v>
      </c>
    </row>
    <row r="341" spans="6:10">
      <c r="F341" s="263" t="s">
        <v>131</v>
      </c>
      <c r="G341" s="256" t="s">
        <v>60</v>
      </c>
      <c r="H341" s="257" t="s">
        <v>186</v>
      </c>
      <c r="I341" s="256" t="str">
        <f t="shared" si="13"/>
        <v>Whisky, Tequila, BrandyNCUSMA</v>
      </c>
      <c r="J341" s="258">
        <v>0</v>
      </c>
    </row>
    <row r="342" spans="6:10">
      <c r="F342" s="263" t="s">
        <v>131</v>
      </c>
      <c r="G342" s="256" t="s">
        <v>60</v>
      </c>
      <c r="H342" s="257" t="s">
        <v>88</v>
      </c>
      <c r="I342" s="256" t="str">
        <f t="shared" si="13"/>
        <v>Whisky, Tequila, BrandyNEU/CETA</v>
      </c>
      <c r="J342" s="258">
        <v>0</v>
      </c>
    </row>
    <row r="343" spans="6:10">
      <c r="F343" s="263" t="s">
        <v>131</v>
      </c>
      <c r="G343" s="256" t="s">
        <v>60</v>
      </c>
      <c r="H343" s="257" t="s">
        <v>10</v>
      </c>
      <c r="I343" s="256" t="str">
        <f t="shared" si="13"/>
        <v>Whisky, Tequila, BrandyNCPTPP</v>
      </c>
      <c r="J343" s="258">
        <v>0</v>
      </c>
    </row>
    <row r="344" spans="6:10">
      <c r="F344" s="263" t="s">
        <v>131</v>
      </c>
      <c r="G344" s="256" t="s">
        <v>6</v>
      </c>
      <c r="H344" s="107" t="s">
        <v>290</v>
      </c>
      <c r="I344" s="256" t="str">
        <f t="shared" si="13"/>
        <v>Whisky, Tequila, BrandyYCUFTA</v>
      </c>
      <c r="J344" s="258">
        <v>0</v>
      </c>
    </row>
    <row r="345" spans="6:10">
      <c r="F345" s="263" t="s">
        <v>131</v>
      </c>
      <c r="G345" s="256" t="s">
        <v>60</v>
      </c>
      <c r="H345" s="107" t="s">
        <v>290</v>
      </c>
      <c r="I345" s="256" t="str">
        <f>F345&amp;G345&amp;H345</f>
        <v>Whisky, Tequila, BrandyNCUFTA</v>
      </c>
      <c r="J345" s="258">
        <v>0</v>
      </c>
    </row>
    <row r="346" spans="6:10">
      <c r="F346" s="263" t="s">
        <v>98</v>
      </c>
      <c r="G346" s="256" t="s">
        <v>6</v>
      </c>
      <c r="H346" s="257" t="s">
        <v>53</v>
      </c>
      <c r="I346" s="256" t="str">
        <f>F346&amp;G346&amp;H346</f>
        <v>DomesticYOther</v>
      </c>
      <c r="J346" s="258">
        <v>0</v>
      </c>
    </row>
    <row r="347" spans="6:10">
      <c r="F347" s="263" t="s">
        <v>98</v>
      </c>
      <c r="G347" s="256" t="s">
        <v>6</v>
      </c>
      <c r="H347" s="257" t="s">
        <v>98</v>
      </c>
      <c r="I347" s="256" t="str">
        <f t="shared" ref="I347:I350" si="14">F347&amp;G347&amp;H347</f>
        <v>DomesticYDomestic</v>
      </c>
      <c r="J347" s="258">
        <v>0</v>
      </c>
    </row>
    <row r="348" spans="6:10">
      <c r="F348" s="263" t="s">
        <v>98</v>
      </c>
      <c r="G348" s="256" t="s">
        <v>6</v>
      </c>
      <c r="H348" s="257" t="s">
        <v>186</v>
      </c>
      <c r="I348" s="256" t="str">
        <f t="shared" si="14"/>
        <v>DomesticYCUSMA</v>
      </c>
      <c r="J348" s="258">
        <v>0</v>
      </c>
    </row>
    <row r="349" spans="6:10">
      <c r="F349" s="263" t="s">
        <v>98</v>
      </c>
      <c r="G349" s="256" t="s">
        <v>6</v>
      </c>
      <c r="H349" s="257" t="s">
        <v>88</v>
      </c>
      <c r="I349" s="256" t="str">
        <f t="shared" si="14"/>
        <v>DomesticYEU/CETA</v>
      </c>
      <c r="J349" s="258">
        <v>0</v>
      </c>
    </row>
    <row r="350" spans="6:10">
      <c r="F350" s="263" t="s">
        <v>98</v>
      </c>
      <c r="G350" s="256" t="s">
        <v>6</v>
      </c>
      <c r="H350" s="257" t="s">
        <v>10</v>
      </c>
      <c r="I350" s="256" t="str">
        <f t="shared" si="14"/>
        <v>DomesticYCPTPP</v>
      </c>
      <c r="J350" s="258">
        <v>0</v>
      </c>
    </row>
    <row r="351" spans="6:10">
      <c r="F351" s="263" t="s">
        <v>98</v>
      </c>
      <c r="G351" s="256" t="s">
        <v>60</v>
      </c>
      <c r="H351" s="257" t="s">
        <v>53</v>
      </c>
      <c r="I351" s="256" t="str">
        <f>F351&amp;G351&amp;H351</f>
        <v>DomesticNOther</v>
      </c>
      <c r="J351" s="258">
        <v>0</v>
      </c>
    </row>
    <row r="352" spans="6:10">
      <c r="F352" s="263" t="s">
        <v>98</v>
      </c>
      <c r="G352" s="256" t="s">
        <v>60</v>
      </c>
      <c r="H352" s="257" t="s">
        <v>98</v>
      </c>
      <c r="I352" s="256" t="str">
        <f t="shared" ref="I352:I355" si="15">F352&amp;G352&amp;H352</f>
        <v>DomesticNDomestic</v>
      </c>
      <c r="J352" s="258">
        <v>0</v>
      </c>
    </row>
    <row r="353" spans="6:15">
      <c r="F353" s="263" t="s">
        <v>98</v>
      </c>
      <c r="G353" s="256" t="s">
        <v>60</v>
      </c>
      <c r="H353" s="257" t="s">
        <v>186</v>
      </c>
      <c r="I353" s="256" t="str">
        <f t="shared" si="15"/>
        <v>DomesticNCUSMA</v>
      </c>
      <c r="J353" s="258">
        <v>0</v>
      </c>
    </row>
    <row r="354" spans="6:15">
      <c r="F354" s="263" t="s">
        <v>98</v>
      </c>
      <c r="G354" s="256" t="s">
        <v>60</v>
      </c>
      <c r="H354" s="257" t="s">
        <v>88</v>
      </c>
      <c r="I354" s="256" t="str">
        <f t="shared" si="15"/>
        <v>DomesticNEU/CETA</v>
      </c>
      <c r="J354" s="258">
        <v>0</v>
      </c>
    </row>
    <row r="355" spans="6:15">
      <c r="F355" s="263" t="s">
        <v>98</v>
      </c>
      <c r="G355" s="256" t="s">
        <v>60</v>
      </c>
      <c r="H355" s="257" t="s">
        <v>10</v>
      </c>
      <c r="I355" s="256" t="str">
        <f t="shared" si="15"/>
        <v>DomesticNCPTPP</v>
      </c>
      <c r="J355" s="258">
        <v>0</v>
      </c>
    </row>
    <row r="356" spans="6:15">
      <c r="F356" s="263" t="s">
        <v>177</v>
      </c>
      <c r="G356" s="256" t="s">
        <v>6</v>
      </c>
      <c r="H356" s="257" t="s">
        <v>53</v>
      </c>
      <c r="I356" s="256" t="str">
        <f>F356&amp;G356&amp;H356</f>
        <v>USYOther</v>
      </c>
      <c r="J356" s="258">
        <v>0</v>
      </c>
    </row>
    <row r="357" spans="6:15">
      <c r="F357" s="263" t="s">
        <v>177</v>
      </c>
      <c r="G357" s="256" t="s">
        <v>6</v>
      </c>
      <c r="H357" s="257" t="s">
        <v>98</v>
      </c>
      <c r="I357" s="256" t="str">
        <f t="shared" ref="I357:I360" si="16">F357&amp;G357&amp;H357</f>
        <v>USYDomestic</v>
      </c>
      <c r="J357" s="258">
        <v>0</v>
      </c>
    </row>
    <row r="358" spans="6:15">
      <c r="F358" s="263" t="s">
        <v>177</v>
      </c>
      <c r="G358" s="256" t="s">
        <v>6</v>
      </c>
      <c r="H358" s="257" t="s">
        <v>186</v>
      </c>
      <c r="I358" s="256" t="str">
        <f t="shared" si="16"/>
        <v>USYCUSMA</v>
      </c>
      <c r="J358" s="258">
        <v>0</v>
      </c>
    </row>
    <row r="359" spans="6:15">
      <c r="F359" s="263" t="s">
        <v>177</v>
      </c>
      <c r="G359" s="256" t="s">
        <v>6</v>
      </c>
      <c r="H359" s="257" t="s">
        <v>88</v>
      </c>
      <c r="I359" s="256" t="str">
        <f t="shared" si="16"/>
        <v>USYEU/CETA</v>
      </c>
      <c r="J359" s="258">
        <v>0</v>
      </c>
    </row>
    <row r="360" spans="6:15">
      <c r="F360" s="263" t="s">
        <v>177</v>
      </c>
      <c r="G360" s="256" t="s">
        <v>6</v>
      </c>
      <c r="H360" s="257" t="s">
        <v>10</v>
      </c>
      <c r="I360" s="256" t="str">
        <f t="shared" si="16"/>
        <v>USYCPTPP</v>
      </c>
      <c r="J360" s="258">
        <v>0</v>
      </c>
    </row>
    <row r="361" spans="6:15">
      <c r="F361" s="263" t="s">
        <v>177</v>
      </c>
      <c r="G361" s="256" t="s">
        <v>60</v>
      </c>
      <c r="H361" s="257" t="s">
        <v>53</v>
      </c>
      <c r="I361" s="256" t="str">
        <f>F361&amp;G361&amp;H361</f>
        <v>USNOther</v>
      </c>
      <c r="J361" s="258">
        <v>0</v>
      </c>
    </row>
    <row r="362" spans="6:15">
      <c r="F362" s="263" t="s">
        <v>177</v>
      </c>
      <c r="G362" s="256" t="s">
        <v>60</v>
      </c>
      <c r="H362" s="257" t="s">
        <v>98</v>
      </c>
      <c r="I362" s="256" t="str">
        <f t="shared" ref="I362:I365" si="17">F362&amp;G362&amp;H362</f>
        <v>USNDomestic</v>
      </c>
      <c r="J362" s="258">
        <v>0</v>
      </c>
    </row>
    <row r="363" spans="6:15">
      <c r="F363" s="263" t="s">
        <v>177</v>
      </c>
      <c r="G363" s="256" t="s">
        <v>60</v>
      </c>
      <c r="H363" s="257" t="s">
        <v>186</v>
      </c>
      <c r="I363" s="256" t="str">
        <f t="shared" si="17"/>
        <v>USNCUSMA</v>
      </c>
      <c r="J363" s="258">
        <v>0</v>
      </c>
    </row>
    <row r="364" spans="6:15">
      <c r="F364" s="263" t="s">
        <v>177</v>
      </c>
      <c r="G364" s="256" t="s">
        <v>60</v>
      </c>
      <c r="H364" s="257" t="s">
        <v>88</v>
      </c>
      <c r="I364" s="256" t="str">
        <f t="shared" si="17"/>
        <v>USNEU/CETA</v>
      </c>
      <c r="J364" s="258">
        <v>0</v>
      </c>
    </row>
    <row r="365" spans="6:15">
      <c r="F365" s="263" t="s">
        <v>177</v>
      </c>
      <c r="G365" s="256" t="s">
        <v>60</v>
      </c>
      <c r="H365" s="257" t="s">
        <v>10</v>
      </c>
      <c r="I365" s="256" t="str">
        <f t="shared" si="17"/>
        <v>USNCPTPP</v>
      </c>
      <c r="J365" s="258">
        <v>0</v>
      </c>
    </row>
    <row r="366" spans="6:15" ht="16" thickBot="1">
      <c r="M366" s="520"/>
      <c r="N366" s="520"/>
    </row>
    <row r="367" spans="6:15" ht="16" thickBot="1">
      <c r="F367" s="523" t="s">
        <v>489</v>
      </c>
      <c r="G367" s="234" t="s">
        <v>60</v>
      </c>
      <c r="H367" s="234" t="s">
        <v>186</v>
      </c>
      <c r="I367" s="234" t="str">
        <f>F367&amp;G367&amp;H367</f>
        <v>Gift Wine =&gt;7.2%NCUSMA</v>
      </c>
      <c r="J367" s="235">
        <f>IF(GiftPack_Wine!C15&lt;=13.7,B99,IF(GiftPack_Wine!C15&lt;=14.9,B102,IF(GiftPack_Wine!C15&gt;14.9,0)))</f>
        <v>1.8700000000000001E-2</v>
      </c>
      <c r="M367" s="521" t="s">
        <v>489</v>
      </c>
      <c r="N367" s="521">
        <v>1.62</v>
      </c>
      <c r="O367" s="518"/>
    </row>
    <row r="368" spans="6:15" ht="16" thickBot="1">
      <c r="F368" s="523" t="s">
        <v>489</v>
      </c>
      <c r="G368" s="240" t="s">
        <v>60</v>
      </c>
      <c r="H368" s="240" t="s">
        <v>88</v>
      </c>
      <c r="I368" s="234" t="str">
        <f t="shared" ref="I368:I371" si="18">F368&amp;G368&amp;H368</f>
        <v>Gift Wine =&gt;7.2%NEU/CETA</v>
      </c>
      <c r="J368" s="241">
        <f>IF(GiftPack_Wine!C15&lt;=13.7,B99,IF(GiftPack_Wine!C15&lt;=14.9,B102,IF(GiftPack_Wine!C15&gt;14.9,0)))</f>
        <v>1.8700000000000001E-2</v>
      </c>
      <c r="M368" s="521" t="s">
        <v>490</v>
      </c>
      <c r="N368" s="521">
        <v>1.62</v>
      </c>
      <c r="O368" s="518"/>
    </row>
    <row r="369" spans="6:15" ht="16" thickBot="1">
      <c r="F369" s="523" t="s">
        <v>489</v>
      </c>
      <c r="G369" s="234" t="s">
        <v>60</v>
      </c>
      <c r="H369" s="234" t="s">
        <v>10</v>
      </c>
      <c r="I369" s="234" t="str">
        <f t="shared" si="18"/>
        <v>Gift Wine =&gt;7.2%NCPTPP</v>
      </c>
      <c r="J369" s="235">
        <f>IF(GiftPack_Wine!C15&lt;=13.7,B99,IF(GiftPack_Wine!C15&lt;=14.9,B102,IF(GiftPack_Wine!C15&gt;14.9,0)))</f>
        <v>1.8700000000000001E-2</v>
      </c>
      <c r="M369" s="521" t="s">
        <v>491</v>
      </c>
      <c r="N369" s="521">
        <v>1.62</v>
      </c>
      <c r="O369" s="518"/>
    </row>
    <row r="370" spans="6:15" ht="16" thickBot="1">
      <c r="F370" s="523" t="s">
        <v>489</v>
      </c>
      <c r="G370" s="240" t="s">
        <v>60</v>
      </c>
      <c r="H370" s="240" t="s">
        <v>53</v>
      </c>
      <c r="I370" s="234" t="str">
        <f t="shared" si="18"/>
        <v>Gift Wine =&gt;7.2%NOther</v>
      </c>
      <c r="J370" s="241">
        <f>IF(GiftPack_Wine!C15&lt;=13.7,B99,IF(GiftPack_Wine!C15&lt;=14.9,B102,IF(GiftPack_Wine!C15&gt;14.9,0)))</f>
        <v>1.8700000000000001E-2</v>
      </c>
      <c r="M370" s="521" t="s">
        <v>492</v>
      </c>
      <c r="N370" s="521">
        <v>1.62</v>
      </c>
      <c r="O370" s="518"/>
    </row>
    <row r="371" spans="6:15" ht="16" thickBot="1">
      <c r="F371" s="523" t="s">
        <v>489</v>
      </c>
      <c r="G371" s="234" t="s">
        <v>60</v>
      </c>
      <c r="H371" s="234" t="s">
        <v>98</v>
      </c>
      <c r="I371" s="234" t="str">
        <f t="shared" si="18"/>
        <v>Gift Wine =&gt;7.2%NDomestic</v>
      </c>
      <c r="J371" s="235">
        <v>0</v>
      </c>
      <c r="M371" s="521" t="s">
        <v>493</v>
      </c>
      <c r="N371" s="521">
        <v>1.62</v>
      </c>
      <c r="O371" s="518"/>
    </row>
    <row r="372" spans="6:15" ht="16" thickBot="1">
      <c r="F372" s="523" t="s">
        <v>489</v>
      </c>
      <c r="G372" s="240" t="s">
        <v>6</v>
      </c>
      <c r="H372" s="240" t="s">
        <v>186</v>
      </c>
      <c r="I372" s="240" t="str">
        <f>F372&amp;G372&amp;H372</f>
        <v>Gift Wine =&gt;7.2%YCUSMA</v>
      </c>
      <c r="J372" s="241">
        <v>0</v>
      </c>
      <c r="M372" s="521" t="s">
        <v>494</v>
      </c>
      <c r="N372" s="521">
        <v>1.62</v>
      </c>
      <c r="O372" s="518"/>
    </row>
    <row r="373" spans="6:15" ht="16" thickBot="1">
      <c r="F373" s="523" t="s">
        <v>489</v>
      </c>
      <c r="G373" s="234" t="s">
        <v>6</v>
      </c>
      <c r="H373" s="234" t="s">
        <v>88</v>
      </c>
      <c r="I373" s="240" t="str">
        <f t="shared" ref="I373:I378" si="19">F373&amp;G373&amp;H373</f>
        <v>Gift Wine =&gt;7.2%YEU/CETA</v>
      </c>
      <c r="J373" s="235">
        <v>0</v>
      </c>
      <c r="M373" s="521" t="s">
        <v>495</v>
      </c>
      <c r="N373" s="521">
        <v>0</v>
      </c>
      <c r="O373" s="518"/>
    </row>
    <row r="374" spans="6:15" ht="16" thickBot="1">
      <c r="F374" s="523" t="s">
        <v>489</v>
      </c>
      <c r="G374" s="240" t="s">
        <v>6</v>
      </c>
      <c r="H374" s="240" t="s">
        <v>10</v>
      </c>
      <c r="I374" s="240" t="str">
        <f t="shared" si="19"/>
        <v>Gift Wine =&gt;7.2%YCPTPP</v>
      </c>
      <c r="J374" s="241">
        <v>0</v>
      </c>
      <c r="M374" s="519"/>
      <c r="N374" s="518"/>
      <c r="O374" s="518"/>
    </row>
    <row r="375" spans="6:15" ht="21" thickBot="1">
      <c r="F375" s="523" t="s">
        <v>489</v>
      </c>
      <c r="G375" s="234" t="s">
        <v>6</v>
      </c>
      <c r="H375" s="234" t="s">
        <v>53</v>
      </c>
      <c r="I375" s="240" t="str">
        <f t="shared" si="19"/>
        <v>Gift Wine =&gt;7.2%YOther</v>
      </c>
      <c r="J375" s="235">
        <f>IF(GiftPack_Wine!C15&lt;=13.7,B99,IF(GiftPack_Wine!C15&lt;=14.9,B102,IF(GiftPack_Wine!C15&gt;14.9,0)))</f>
        <v>1.8700000000000001E-2</v>
      </c>
      <c r="M375" s="180" t="s">
        <v>340</v>
      </c>
      <c r="N375" s="181"/>
    </row>
    <row r="376" spans="6:15" ht="16" thickBot="1">
      <c r="F376" s="523" t="s">
        <v>489</v>
      </c>
      <c r="G376" s="240" t="s">
        <v>6</v>
      </c>
      <c r="H376" s="240" t="s">
        <v>98</v>
      </c>
      <c r="I376" s="240" t="str">
        <f t="shared" si="19"/>
        <v>Gift Wine =&gt;7.2%YDomestic</v>
      </c>
      <c r="J376" s="241">
        <v>0</v>
      </c>
      <c r="M376" s="521" t="s">
        <v>489</v>
      </c>
      <c r="N376" s="522">
        <v>0.71499999999999997</v>
      </c>
    </row>
    <row r="377" spans="6:15" ht="16" thickBot="1">
      <c r="F377" s="523" t="s">
        <v>489</v>
      </c>
      <c r="G377" s="234" t="s">
        <v>60</v>
      </c>
      <c r="H377" s="107" t="s">
        <v>290</v>
      </c>
      <c r="I377" s="240" t="str">
        <f t="shared" si="19"/>
        <v>Gift Wine =&gt;7.2%NCUFTA</v>
      </c>
      <c r="J377" s="235">
        <v>0</v>
      </c>
      <c r="M377" s="521" t="s">
        <v>490</v>
      </c>
      <c r="N377" s="522">
        <v>0.64600000000000002</v>
      </c>
    </row>
    <row r="378" spans="6:15">
      <c r="F378" s="523" t="s">
        <v>489</v>
      </c>
      <c r="G378" s="240" t="s">
        <v>6</v>
      </c>
      <c r="H378" s="107" t="s">
        <v>290</v>
      </c>
      <c r="I378" s="240" t="str">
        <f t="shared" si="19"/>
        <v>Gift Wine =&gt;7.2%YCUFTA</v>
      </c>
      <c r="J378" s="241">
        <v>0</v>
      </c>
      <c r="M378" s="521" t="s">
        <v>491</v>
      </c>
      <c r="N378" s="522">
        <v>0.69299999999999995</v>
      </c>
    </row>
    <row r="379" spans="6:15">
      <c r="F379" s="524" t="s">
        <v>493</v>
      </c>
      <c r="G379" s="237" t="s">
        <v>60</v>
      </c>
      <c r="H379" s="237" t="s">
        <v>186</v>
      </c>
      <c r="I379" s="237" t="str">
        <f>F379&amp;G379&amp;H379</f>
        <v>Gift SakeNCUSMA</v>
      </c>
      <c r="J379" s="238">
        <f>IF(GiftPack_Wine!C15&lt;=13.6,B110,IF(GiftPack_Wine!C15&lt;=14.8,B111,IF(GiftPack_Wine!C15&lt;=15.8,B112,IF(GiftPack_Wine!C15&lt;=16.8,B113,IF(GiftPack_Wine!C15&lt;=17.8,B114,IF(GiftPack_Wine!C15&lt;=18.8,B115,IF(GiftPack_Wine!C15&lt;=19.8,B116,IF(GiftPack_Wine!C15&lt;=20.8,B117,IF(GiftPack_Wine!C15&lt;=21.8,B118,IF(GiftPack_Wine!C15&lt;=22.8,B119,IF(GiftPack_Wine!C15&gt;=22.9,B120)))))))))))</f>
        <v>2.8199999999999999E-2</v>
      </c>
      <c r="M379" s="521" t="s">
        <v>492</v>
      </c>
      <c r="N379" s="522">
        <v>1.1399999999999999</v>
      </c>
    </row>
    <row r="380" spans="6:15">
      <c r="F380" s="524" t="s">
        <v>493</v>
      </c>
      <c r="G380" s="240" t="s">
        <v>60</v>
      </c>
      <c r="H380" s="240" t="s">
        <v>88</v>
      </c>
      <c r="I380" s="237" t="str">
        <f t="shared" ref="I380:I448" si="20">F380&amp;G380&amp;H380</f>
        <v>Gift SakeNEU/CETA</v>
      </c>
      <c r="J380" s="242">
        <f>IF(GiftPack_Wine!C15&lt;=13.6,B110,IF(GiftPack_Wine!C15&lt;=14.8,B111,IF(GiftPack_Wine!C15&lt;=15.8,B112,IF(GiftPack_Wine!C15&lt;=16.8,B113,IF(GiftPack_Wine!C15&lt;=17.8,B114,IF(GiftPack_Wine!C15&lt;=18.8,B115,IF(GiftPack_Wine!C15&lt;=19.8,B116,IF(GiftPack_Wine!C15&lt;=20.8,B117,IF(GiftPack_Wine!C15&lt;=21.8,B118,IF(GiftPack_Wine!C15&lt;=22.8,B119,IF(GiftPack_Wine!C15&gt;=22.9,B120)))))))))))</f>
        <v>2.8199999999999999E-2</v>
      </c>
      <c r="M380" s="521" t="s">
        <v>493</v>
      </c>
      <c r="N380" s="522">
        <v>0.71499999999999997</v>
      </c>
    </row>
    <row r="381" spans="6:15">
      <c r="F381" s="524" t="s">
        <v>493</v>
      </c>
      <c r="G381" s="237" t="s">
        <v>60</v>
      </c>
      <c r="H381" s="237" t="s">
        <v>10</v>
      </c>
      <c r="I381" s="237" t="str">
        <f t="shared" si="20"/>
        <v>Gift SakeNCPTPP</v>
      </c>
      <c r="J381" s="238">
        <f>IF(GiftPack_Wine!C15&lt;=13.6,B110,IF(GiftPack_Wine!C15&lt;=14.8,B111,IF(GiftPack_Wine!C15&lt;=15.8,B112,IF(GiftPack_Wine!C15&lt;=16.8,B113,IF(GiftPack_Wine!C15&lt;=17.8,B114,IF(GiftPack_Wine!C15&lt;=18.8,B115,IF(GiftPack_Wine!C15&lt;=19.8,B116,IF(GiftPack_Wine!C15&lt;=20.8,B117,IF(GiftPack_Wine!C15&lt;=21.8,B118,IF(GiftPack_Wine!C15&lt;=22.8,B119,IF(GiftPack_Wine!C15&gt;=22.9,B120)))))))))))</f>
        <v>2.8199999999999999E-2</v>
      </c>
      <c r="M381" s="521" t="s">
        <v>494</v>
      </c>
      <c r="N381" s="522">
        <v>0.71499999999999997</v>
      </c>
    </row>
    <row r="382" spans="6:15">
      <c r="F382" s="524" t="s">
        <v>493</v>
      </c>
      <c r="G382" s="240" t="s">
        <v>60</v>
      </c>
      <c r="H382" s="240" t="s">
        <v>53</v>
      </c>
      <c r="I382" s="237" t="str">
        <f t="shared" si="20"/>
        <v>Gift SakeNOther</v>
      </c>
      <c r="J382" s="242">
        <f>IF(GiftPack_Wine!C15&lt;=13.6,B110,IF(GiftPack_Wine!C15&lt;=14.8,B111,IF(GiftPack_Wine!C15&lt;=15.8,B112,IF(GiftPack_Wine!C15&lt;=16.8,B113,IF(GiftPack_Wine!C15&lt;=17.8,B114,IF(GiftPack_Wine!C15&lt;=18.8,B115,IF(GiftPack_Wine!C15&lt;=19.8,B116,IF(GiftPack_Wine!C15&lt;=20.8,B117,IF(GiftPack_Wine!C15&lt;=21.8,B118,IF(GiftPack_Wine!C15&lt;=22.8,B119,IF(GiftPack_Wine!C15&gt;=22.9,B120)))))))))))</f>
        <v>2.8199999999999999E-2</v>
      </c>
      <c r="M382" s="521" t="s">
        <v>495</v>
      </c>
      <c r="N382" s="522">
        <v>1.1399999999999999</v>
      </c>
    </row>
    <row r="383" spans="6:15">
      <c r="F383" s="524" t="s">
        <v>493</v>
      </c>
      <c r="G383" s="237" t="s">
        <v>60</v>
      </c>
      <c r="H383" s="237" t="s">
        <v>98</v>
      </c>
      <c r="I383" s="237" t="str">
        <f t="shared" si="20"/>
        <v>Gift SakeNDomestic</v>
      </c>
      <c r="J383" s="238">
        <v>0</v>
      </c>
    </row>
    <row r="384" spans="6:15">
      <c r="F384" s="524" t="s">
        <v>493</v>
      </c>
      <c r="G384" s="240" t="s">
        <v>6</v>
      </c>
      <c r="H384" s="240" t="s">
        <v>186</v>
      </c>
      <c r="I384" s="237" t="str">
        <f t="shared" si="20"/>
        <v>Gift SakeYCUSMA</v>
      </c>
      <c r="J384" s="242">
        <v>0</v>
      </c>
    </row>
    <row r="385" spans="6:10">
      <c r="F385" s="524" t="s">
        <v>493</v>
      </c>
      <c r="G385" s="237" t="s">
        <v>6</v>
      </c>
      <c r="H385" s="237" t="s">
        <v>88</v>
      </c>
      <c r="I385" s="237" t="str">
        <f t="shared" si="20"/>
        <v>Gift SakeYEU/CETA</v>
      </c>
      <c r="J385" s="238">
        <v>0</v>
      </c>
    </row>
    <row r="386" spans="6:10">
      <c r="F386" s="524" t="s">
        <v>493</v>
      </c>
      <c r="G386" s="240" t="s">
        <v>6</v>
      </c>
      <c r="H386" s="240" t="s">
        <v>10</v>
      </c>
      <c r="I386" s="237" t="str">
        <f t="shared" si="20"/>
        <v>Gift SakeYCPTPP</v>
      </c>
      <c r="J386" s="242">
        <v>0</v>
      </c>
    </row>
    <row r="387" spans="6:10">
      <c r="F387" s="524" t="s">
        <v>493</v>
      </c>
      <c r="G387" s="237" t="s">
        <v>6</v>
      </c>
      <c r="H387" s="237" t="s">
        <v>53</v>
      </c>
      <c r="I387" s="237" t="str">
        <f t="shared" si="20"/>
        <v>Gift SakeYOther</v>
      </c>
      <c r="J387" s="238">
        <f>IF(GiftPack_Wine!C15&lt;=13.6,B110,IF(GiftPack_Wine!C15&lt;=14.8,B111,IF(GiftPack_Wine!C15&lt;=15.8,B112,IF(GiftPack_Wine!C15&lt;=16.8,B113,IF(GiftPack_Wine!C15&lt;=17.8,B114,IF(GiftPack_Wine!C15&lt;=18.8,B115,IF(GiftPack_Wine!C15&lt;=19.8,B116,IF(GiftPack_Wine!C15&lt;=20.8,B117,IF(GiftPack_Wine!C15&lt;=21.8,B118,IF(GiftPack_Wine!C15&lt;=22.8,B119,IF(GiftPack_Wine!C15&gt;=22.9,B120)))))))))))</f>
        <v>2.8199999999999999E-2</v>
      </c>
    </row>
    <row r="388" spans="6:10">
      <c r="F388" s="524" t="s">
        <v>493</v>
      </c>
      <c r="G388" s="240" t="s">
        <v>6</v>
      </c>
      <c r="H388" s="240" t="s">
        <v>98</v>
      </c>
      <c r="I388" s="237" t="str">
        <f t="shared" si="20"/>
        <v>Gift SakeYDomestic</v>
      </c>
      <c r="J388" s="242">
        <v>0</v>
      </c>
    </row>
    <row r="389" spans="6:10">
      <c r="F389" s="524" t="s">
        <v>493</v>
      </c>
      <c r="G389" s="237" t="s">
        <v>60</v>
      </c>
      <c r="H389" s="107" t="s">
        <v>290</v>
      </c>
      <c r="I389" s="237" t="str">
        <f t="shared" ref="I389:I390" si="21">F389&amp;G389&amp;H389</f>
        <v>Gift SakeNCUFTA</v>
      </c>
      <c r="J389" s="238">
        <v>0</v>
      </c>
    </row>
    <row r="390" spans="6:10">
      <c r="F390" s="524" t="s">
        <v>493</v>
      </c>
      <c r="G390" s="240" t="s">
        <v>6</v>
      </c>
      <c r="H390" s="107" t="s">
        <v>290</v>
      </c>
      <c r="I390" s="237" t="str">
        <f t="shared" si="21"/>
        <v>Gift SakeYCUFTA</v>
      </c>
      <c r="J390" s="242">
        <v>0</v>
      </c>
    </row>
    <row r="391" spans="6:10">
      <c r="F391" s="524" t="s">
        <v>490</v>
      </c>
      <c r="G391" s="237" t="s">
        <v>60</v>
      </c>
      <c r="H391" s="237" t="s">
        <v>186</v>
      </c>
      <c r="I391" s="237" t="str">
        <f t="shared" si="20"/>
        <v>Gift Wine =&lt;7.1%NCUSMA</v>
      </c>
      <c r="J391" s="238">
        <f>IF(GiftPack_Wine!C15&lt;=13.7,B99,IF(GiftPack_Wine!C15&lt;=14.9,B102,IF(GiftPack_Wine!C15&gt;14.9,0)))</f>
        <v>1.8700000000000001E-2</v>
      </c>
    </row>
    <row r="392" spans="6:10">
      <c r="F392" s="524" t="s">
        <v>490</v>
      </c>
      <c r="G392" s="240" t="s">
        <v>60</v>
      </c>
      <c r="H392" s="240" t="s">
        <v>88</v>
      </c>
      <c r="I392" s="237" t="str">
        <f t="shared" si="20"/>
        <v>Gift Wine =&lt;7.1%NEU/CETA</v>
      </c>
      <c r="J392" s="238">
        <f>IF(GiftPack_Wine!C15&lt;=13.7,B99,IF(GiftPack_Wine!C15&lt;=14.9,B102,IF(GiftPack_Wine!C15&gt;14.9,0)))</f>
        <v>1.8700000000000001E-2</v>
      </c>
    </row>
    <row r="393" spans="6:10">
      <c r="F393" s="524" t="s">
        <v>490</v>
      </c>
      <c r="G393" s="237" t="s">
        <v>60</v>
      </c>
      <c r="H393" s="237" t="s">
        <v>10</v>
      </c>
      <c r="I393" s="237" t="str">
        <f t="shared" si="20"/>
        <v>Gift Wine =&lt;7.1%NCPTPP</v>
      </c>
      <c r="J393" s="238">
        <f>IF(GiftPack_Wine!C15&lt;=13.7,B99,IF(GiftPack_Wine!C15&lt;=14.9,B102,IF(GiftPack_Wine!C15&gt;14.9,0)))</f>
        <v>1.8700000000000001E-2</v>
      </c>
    </row>
    <row r="394" spans="6:10">
      <c r="F394" s="524" t="s">
        <v>490</v>
      </c>
      <c r="G394" s="240" t="s">
        <v>60</v>
      </c>
      <c r="H394" s="240" t="s">
        <v>53</v>
      </c>
      <c r="I394" s="237" t="str">
        <f t="shared" si="20"/>
        <v>Gift Wine =&lt;7.1%NOther</v>
      </c>
      <c r="J394" s="242">
        <f>IF(GiftPack_Wine!C15&lt;=13.7,B99,IF(GiftPack_Wine!C15&lt;=14.9,B102,IF(GiftPack_Wine!C15&gt;14.9,0)))</f>
        <v>1.8700000000000001E-2</v>
      </c>
    </row>
    <row r="395" spans="6:10">
      <c r="F395" s="524" t="s">
        <v>490</v>
      </c>
      <c r="G395" s="237" t="s">
        <v>60</v>
      </c>
      <c r="H395" s="237" t="s">
        <v>98</v>
      </c>
      <c r="I395" s="237" t="str">
        <f t="shared" si="20"/>
        <v>Gift Wine =&lt;7.1%NDomestic</v>
      </c>
      <c r="J395" s="238">
        <v>0</v>
      </c>
    </row>
    <row r="396" spans="6:10">
      <c r="F396" s="524" t="s">
        <v>490</v>
      </c>
      <c r="G396" s="240" t="s">
        <v>6</v>
      </c>
      <c r="H396" s="240" t="s">
        <v>186</v>
      </c>
      <c r="I396" s="237" t="str">
        <f t="shared" si="20"/>
        <v>Gift Wine =&lt;7.1%YCUSMA</v>
      </c>
      <c r="J396" s="242">
        <v>0</v>
      </c>
    </row>
    <row r="397" spans="6:10">
      <c r="F397" s="524" t="s">
        <v>490</v>
      </c>
      <c r="G397" s="237" t="s">
        <v>6</v>
      </c>
      <c r="H397" s="237" t="s">
        <v>88</v>
      </c>
      <c r="I397" s="237" t="str">
        <f t="shared" si="20"/>
        <v>Gift Wine =&lt;7.1%YEU/CETA</v>
      </c>
      <c r="J397" s="238">
        <v>0</v>
      </c>
    </row>
    <row r="398" spans="6:10">
      <c r="F398" s="524" t="s">
        <v>490</v>
      </c>
      <c r="G398" s="240" t="s">
        <v>6</v>
      </c>
      <c r="H398" s="240" t="s">
        <v>10</v>
      </c>
      <c r="I398" s="237" t="str">
        <f t="shared" si="20"/>
        <v>Gift Wine =&lt;7.1%YCPTPP</v>
      </c>
      <c r="J398" s="242">
        <v>0</v>
      </c>
    </row>
    <row r="399" spans="6:10">
      <c r="F399" s="524" t="s">
        <v>490</v>
      </c>
      <c r="G399" s="237" t="s">
        <v>6</v>
      </c>
      <c r="H399" s="237" t="s">
        <v>53</v>
      </c>
      <c r="I399" s="237" t="str">
        <f t="shared" si="20"/>
        <v>Gift Wine =&lt;7.1%YOther</v>
      </c>
      <c r="J399" s="238">
        <f>IF(GiftPack_Wine!C15&lt;=13.7,B99,IF(GiftPack_Wine!C15&lt;=14.9,B102,IF(GiftPack_Wine!C15&gt;14.9,0)))</f>
        <v>1.8700000000000001E-2</v>
      </c>
    </row>
    <row r="400" spans="6:10">
      <c r="F400" s="524" t="s">
        <v>490</v>
      </c>
      <c r="G400" s="240" t="s">
        <v>6</v>
      </c>
      <c r="H400" s="240" t="s">
        <v>98</v>
      </c>
      <c r="I400" s="237" t="str">
        <f t="shared" si="20"/>
        <v>Gift Wine =&lt;7.1%YDomestic</v>
      </c>
      <c r="J400" s="242">
        <v>0</v>
      </c>
    </row>
    <row r="401" spans="6:10">
      <c r="F401" s="524" t="s">
        <v>490</v>
      </c>
      <c r="G401" s="237" t="s">
        <v>60</v>
      </c>
      <c r="H401" s="107" t="s">
        <v>290</v>
      </c>
      <c r="I401" s="237" t="str">
        <f t="shared" ref="I401:I402" si="22">F401&amp;G401&amp;H401</f>
        <v>Gift Wine =&lt;7.1%NCUFTA</v>
      </c>
      <c r="J401" s="238">
        <v>0</v>
      </c>
    </row>
    <row r="402" spans="6:10">
      <c r="F402" s="524" t="s">
        <v>490</v>
      </c>
      <c r="G402" s="240" t="s">
        <v>6</v>
      </c>
      <c r="H402" s="107" t="s">
        <v>290</v>
      </c>
      <c r="I402" s="237" t="str">
        <f t="shared" si="22"/>
        <v>Gift Wine =&lt;7.1%YCUFTA</v>
      </c>
      <c r="J402" s="242">
        <v>0</v>
      </c>
    </row>
    <row r="403" spans="6:10">
      <c r="F403" s="524" t="s">
        <v>491</v>
      </c>
      <c r="G403" s="237" t="s">
        <v>60</v>
      </c>
      <c r="H403" s="237" t="s">
        <v>186</v>
      </c>
      <c r="I403" s="237" t="str">
        <f t="shared" si="20"/>
        <v>Gift FortifiedNCUSMA</v>
      </c>
      <c r="J403" s="238">
        <v>0</v>
      </c>
    </row>
    <row r="404" spans="6:10">
      <c r="F404" s="524" t="s">
        <v>491</v>
      </c>
      <c r="G404" s="240" t="s">
        <v>60</v>
      </c>
      <c r="H404" s="240" t="s">
        <v>88</v>
      </c>
      <c r="I404" s="237" t="str">
        <f t="shared" si="20"/>
        <v>Gift FortifiedNEU/CETA</v>
      </c>
      <c r="J404" s="242">
        <v>0</v>
      </c>
    </row>
    <row r="405" spans="6:10">
      <c r="F405" s="524" t="s">
        <v>491</v>
      </c>
      <c r="G405" s="237" t="s">
        <v>60</v>
      </c>
      <c r="H405" s="237" t="s">
        <v>10</v>
      </c>
      <c r="I405" s="237" t="str">
        <f t="shared" si="20"/>
        <v>Gift FortifiedNCPTPP</v>
      </c>
      <c r="J405" s="238">
        <v>0</v>
      </c>
    </row>
    <row r="406" spans="6:10">
      <c r="F406" s="524" t="s">
        <v>491</v>
      </c>
      <c r="G406" s="240" t="s">
        <v>60</v>
      </c>
      <c r="H406" s="240" t="s">
        <v>53</v>
      </c>
      <c r="I406" s="237" t="str">
        <f t="shared" si="20"/>
        <v>Gift FortifiedNOther</v>
      </c>
      <c r="J406" s="242">
        <v>0</v>
      </c>
    </row>
    <row r="407" spans="6:10">
      <c r="F407" s="524" t="s">
        <v>491</v>
      </c>
      <c r="G407" s="237" t="s">
        <v>60</v>
      </c>
      <c r="H407" s="237" t="s">
        <v>98</v>
      </c>
      <c r="I407" s="237" t="str">
        <f t="shared" si="20"/>
        <v>Gift FortifiedNDomestic</v>
      </c>
      <c r="J407" s="238">
        <v>0</v>
      </c>
    </row>
    <row r="408" spans="6:10">
      <c r="F408" s="524" t="s">
        <v>491</v>
      </c>
      <c r="G408" s="240" t="s">
        <v>6</v>
      </c>
      <c r="H408" s="240" t="s">
        <v>186</v>
      </c>
      <c r="I408" s="237" t="str">
        <f t="shared" si="20"/>
        <v>Gift FortifiedYCUSMA</v>
      </c>
      <c r="J408" s="242">
        <v>0</v>
      </c>
    </row>
    <row r="409" spans="6:10">
      <c r="F409" s="524" t="s">
        <v>491</v>
      </c>
      <c r="G409" s="237" t="s">
        <v>6</v>
      </c>
      <c r="H409" s="237" t="s">
        <v>88</v>
      </c>
      <c r="I409" s="237" t="str">
        <f t="shared" si="20"/>
        <v>Gift FortifiedYEU/CETA</v>
      </c>
      <c r="J409" s="238">
        <v>0</v>
      </c>
    </row>
    <row r="410" spans="6:10">
      <c r="F410" s="524" t="s">
        <v>491</v>
      </c>
      <c r="G410" s="240" t="s">
        <v>6</v>
      </c>
      <c r="H410" s="240" t="s">
        <v>10</v>
      </c>
      <c r="I410" s="237" t="str">
        <f t="shared" si="20"/>
        <v>Gift FortifiedYCPTPP</v>
      </c>
      <c r="J410" s="242">
        <v>0</v>
      </c>
    </row>
    <row r="411" spans="6:10">
      <c r="F411" s="524" t="s">
        <v>491</v>
      </c>
      <c r="G411" s="237" t="s">
        <v>6</v>
      </c>
      <c r="H411" s="237" t="s">
        <v>53</v>
      </c>
      <c r="I411" s="237" t="str">
        <f t="shared" si="20"/>
        <v>Gift FortifiedYOther</v>
      </c>
      <c r="J411" s="238">
        <v>0</v>
      </c>
    </row>
    <row r="412" spans="6:10">
      <c r="F412" s="524" t="s">
        <v>491</v>
      </c>
      <c r="G412" s="240" t="s">
        <v>6</v>
      </c>
      <c r="H412" s="240" t="s">
        <v>98</v>
      </c>
      <c r="I412" s="237" t="str">
        <f t="shared" si="20"/>
        <v>Gift FortifiedYDomestic</v>
      </c>
      <c r="J412" s="242">
        <v>0</v>
      </c>
    </row>
    <row r="413" spans="6:10">
      <c r="F413" s="524" t="s">
        <v>491</v>
      </c>
      <c r="G413" s="237" t="s">
        <v>60</v>
      </c>
      <c r="H413" s="107" t="s">
        <v>290</v>
      </c>
      <c r="I413" s="237" t="str">
        <f t="shared" ref="I413:I414" si="23">F413&amp;G413&amp;H413</f>
        <v>Gift FortifiedNCUFTA</v>
      </c>
      <c r="J413" s="238">
        <v>0</v>
      </c>
    </row>
    <row r="414" spans="6:10">
      <c r="F414" s="524" t="s">
        <v>491</v>
      </c>
      <c r="G414" s="240" t="s">
        <v>6</v>
      </c>
      <c r="H414" s="107" t="s">
        <v>290</v>
      </c>
      <c r="I414" s="237" t="str">
        <f t="shared" si="23"/>
        <v>Gift FortifiedYCUFTA</v>
      </c>
      <c r="J414" s="242">
        <v>0</v>
      </c>
    </row>
    <row r="415" spans="6:10">
      <c r="F415" s="524" t="s">
        <v>492</v>
      </c>
      <c r="G415" s="237" t="s">
        <v>60</v>
      </c>
      <c r="H415" s="237" t="s">
        <v>186</v>
      </c>
      <c r="I415" s="237" t="str">
        <f t="shared" si="20"/>
        <v>Gift Fortified &gt;= 20.1%NCUSMA</v>
      </c>
      <c r="J415" s="238">
        <v>0</v>
      </c>
    </row>
    <row r="416" spans="6:10">
      <c r="F416" s="524" t="s">
        <v>492</v>
      </c>
      <c r="G416" s="240" t="s">
        <v>60</v>
      </c>
      <c r="H416" s="240" t="s">
        <v>88</v>
      </c>
      <c r="I416" s="237" t="str">
        <f t="shared" si="20"/>
        <v>Gift Fortified &gt;= 20.1%NEU/CETA</v>
      </c>
      <c r="J416" s="242">
        <v>0</v>
      </c>
    </row>
    <row r="417" spans="6:10">
      <c r="F417" s="524" t="s">
        <v>492</v>
      </c>
      <c r="G417" s="237" t="s">
        <v>60</v>
      </c>
      <c r="H417" s="237" t="s">
        <v>10</v>
      </c>
      <c r="I417" s="237" t="str">
        <f t="shared" si="20"/>
        <v>Gift Fortified &gt;= 20.1%NCPTPP</v>
      </c>
      <c r="J417" s="238">
        <v>0</v>
      </c>
    </row>
    <row r="418" spans="6:10">
      <c r="F418" s="524" t="s">
        <v>492</v>
      </c>
      <c r="G418" s="240" t="s">
        <v>60</v>
      </c>
      <c r="H418" s="240" t="s">
        <v>53</v>
      </c>
      <c r="I418" s="237" t="str">
        <f t="shared" si="20"/>
        <v>Gift Fortified &gt;= 20.1%NOther</v>
      </c>
      <c r="J418" s="242">
        <v>0</v>
      </c>
    </row>
    <row r="419" spans="6:10">
      <c r="F419" s="524" t="s">
        <v>492</v>
      </c>
      <c r="G419" s="237" t="s">
        <v>60</v>
      </c>
      <c r="H419" s="237" t="s">
        <v>98</v>
      </c>
      <c r="I419" s="237" t="str">
        <f t="shared" si="20"/>
        <v>Gift Fortified &gt;= 20.1%NDomestic</v>
      </c>
      <c r="J419" s="238">
        <v>0</v>
      </c>
    </row>
    <row r="420" spans="6:10">
      <c r="F420" s="524" t="s">
        <v>492</v>
      </c>
      <c r="G420" s="240" t="s">
        <v>6</v>
      </c>
      <c r="H420" s="240" t="s">
        <v>186</v>
      </c>
      <c r="I420" s="237" t="str">
        <f t="shared" si="20"/>
        <v>Gift Fortified &gt;= 20.1%YCUSMA</v>
      </c>
      <c r="J420" s="242">
        <v>0</v>
      </c>
    </row>
    <row r="421" spans="6:10">
      <c r="F421" s="524" t="s">
        <v>492</v>
      </c>
      <c r="G421" s="237" t="s">
        <v>6</v>
      </c>
      <c r="H421" s="237" t="s">
        <v>88</v>
      </c>
      <c r="I421" s="237" t="str">
        <f t="shared" si="20"/>
        <v>Gift Fortified &gt;= 20.1%YEU/CETA</v>
      </c>
      <c r="J421" s="238">
        <v>0</v>
      </c>
    </row>
    <row r="422" spans="6:10">
      <c r="F422" s="524" t="s">
        <v>492</v>
      </c>
      <c r="G422" s="240" t="s">
        <v>6</v>
      </c>
      <c r="H422" s="240" t="s">
        <v>10</v>
      </c>
      <c r="I422" s="237" t="str">
        <f t="shared" si="20"/>
        <v>Gift Fortified &gt;= 20.1%YCPTPP</v>
      </c>
      <c r="J422" s="242">
        <v>0</v>
      </c>
    </row>
    <row r="423" spans="6:10">
      <c r="F423" s="524" t="s">
        <v>492</v>
      </c>
      <c r="G423" s="237" t="s">
        <v>6</v>
      </c>
      <c r="H423" s="237" t="s">
        <v>53</v>
      </c>
      <c r="I423" s="237" t="str">
        <f t="shared" si="20"/>
        <v>Gift Fortified &gt;= 20.1%YOther</v>
      </c>
      <c r="J423" s="238">
        <v>0</v>
      </c>
    </row>
    <row r="424" spans="6:10">
      <c r="F424" s="524" t="s">
        <v>492</v>
      </c>
      <c r="G424" s="240" t="s">
        <v>6</v>
      </c>
      <c r="H424" s="240" t="s">
        <v>98</v>
      </c>
      <c r="I424" s="237" t="str">
        <f t="shared" si="20"/>
        <v>Gift Fortified &gt;= 20.1%YDomestic</v>
      </c>
      <c r="J424" s="242">
        <v>0</v>
      </c>
    </row>
    <row r="425" spans="6:10">
      <c r="F425" s="524" t="s">
        <v>492</v>
      </c>
      <c r="G425" s="237" t="s">
        <v>60</v>
      </c>
      <c r="H425" s="107" t="s">
        <v>290</v>
      </c>
      <c r="I425" s="237" t="str">
        <f t="shared" ref="I425:I426" si="24">F425&amp;G425&amp;H425</f>
        <v>Gift Fortified &gt;= 20.1%NCUFTA</v>
      </c>
      <c r="J425" s="238">
        <v>0</v>
      </c>
    </row>
    <row r="426" spans="6:10">
      <c r="F426" s="524" t="s">
        <v>492</v>
      </c>
      <c r="G426" s="240" t="s">
        <v>6</v>
      </c>
      <c r="H426" s="107" t="s">
        <v>290</v>
      </c>
      <c r="I426" s="237" t="str">
        <f t="shared" si="24"/>
        <v>Gift Fortified &gt;= 20.1%YCUFTA</v>
      </c>
      <c r="J426" s="242">
        <v>0</v>
      </c>
    </row>
    <row r="427" spans="6:10">
      <c r="F427" s="524" t="s">
        <v>494</v>
      </c>
      <c r="G427" s="237" t="s">
        <v>60</v>
      </c>
      <c r="H427" s="237" t="s">
        <v>186</v>
      </c>
      <c r="I427" s="237" t="str">
        <f t="shared" si="20"/>
        <v>Gift SparklingNCUSMA</v>
      </c>
      <c r="J427" s="238">
        <v>0</v>
      </c>
    </row>
    <row r="428" spans="6:10">
      <c r="F428" s="524" t="s">
        <v>494</v>
      </c>
      <c r="G428" s="240" t="s">
        <v>60</v>
      </c>
      <c r="H428" s="240" t="s">
        <v>88</v>
      </c>
      <c r="I428" s="237" t="str">
        <f t="shared" si="20"/>
        <v>Gift SparklingNEU/CETA</v>
      </c>
      <c r="J428" s="242">
        <v>0</v>
      </c>
    </row>
    <row r="429" spans="6:10">
      <c r="F429" s="524" t="s">
        <v>494</v>
      </c>
      <c r="G429" s="237" t="s">
        <v>60</v>
      </c>
      <c r="H429" s="237" t="s">
        <v>10</v>
      </c>
      <c r="I429" s="237" t="str">
        <f t="shared" si="20"/>
        <v>Gift SparklingNCPTPP</v>
      </c>
      <c r="J429" s="238">
        <v>0</v>
      </c>
    </row>
    <row r="430" spans="6:10">
      <c r="F430" s="524" t="s">
        <v>494</v>
      </c>
      <c r="G430" s="240" t="s">
        <v>60</v>
      </c>
      <c r="H430" s="240" t="s">
        <v>53</v>
      </c>
      <c r="I430" s="237" t="str">
        <f t="shared" si="20"/>
        <v>Gift SparklingNOther</v>
      </c>
      <c r="J430" s="242">
        <v>0</v>
      </c>
    </row>
    <row r="431" spans="6:10">
      <c r="F431" s="524" t="s">
        <v>494</v>
      </c>
      <c r="G431" s="237" t="s">
        <v>60</v>
      </c>
      <c r="H431" s="237" t="s">
        <v>98</v>
      </c>
      <c r="I431" s="237" t="str">
        <f t="shared" si="20"/>
        <v>Gift SparklingNDomestic</v>
      </c>
      <c r="J431" s="238">
        <v>0</v>
      </c>
    </row>
    <row r="432" spans="6:10">
      <c r="F432" s="524" t="s">
        <v>494</v>
      </c>
      <c r="G432" s="240" t="s">
        <v>6</v>
      </c>
      <c r="H432" s="240" t="s">
        <v>186</v>
      </c>
      <c r="I432" s="237" t="str">
        <f t="shared" si="20"/>
        <v>Gift SparklingYCUSMA</v>
      </c>
      <c r="J432" s="242">
        <v>0</v>
      </c>
    </row>
    <row r="433" spans="6:10">
      <c r="F433" s="524" t="s">
        <v>494</v>
      </c>
      <c r="G433" s="237" t="s">
        <v>6</v>
      </c>
      <c r="H433" s="237" t="s">
        <v>88</v>
      </c>
      <c r="I433" s="237" t="str">
        <f t="shared" si="20"/>
        <v>Gift SparklingYEU/CETA</v>
      </c>
      <c r="J433" s="238">
        <v>0</v>
      </c>
    </row>
    <row r="434" spans="6:10">
      <c r="F434" s="524" t="s">
        <v>494</v>
      </c>
      <c r="G434" s="240" t="s">
        <v>6</v>
      </c>
      <c r="H434" s="240" t="s">
        <v>10</v>
      </c>
      <c r="I434" s="237" t="str">
        <f t="shared" si="20"/>
        <v>Gift SparklingYCPTPP</v>
      </c>
      <c r="J434" s="242">
        <v>0</v>
      </c>
    </row>
    <row r="435" spans="6:10">
      <c r="F435" s="524" t="s">
        <v>494</v>
      </c>
      <c r="G435" s="237" t="s">
        <v>6</v>
      </c>
      <c r="H435" s="237" t="s">
        <v>53</v>
      </c>
      <c r="I435" s="237" t="str">
        <f t="shared" si="20"/>
        <v>Gift SparklingYOther</v>
      </c>
      <c r="J435" s="238">
        <v>0</v>
      </c>
    </row>
    <row r="436" spans="6:10">
      <c r="F436" s="524" t="s">
        <v>494</v>
      </c>
      <c r="G436" s="240" t="s">
        <v>6</v>
      </c>
      <c r="H436" s="240" t="s">
        <v>98</v>
      </c>
      <c r="I436" s="237" t="str">
        <f t="shared" si="20"/>
        <v>Gift SparklingYDomestic</v>
      </c>
      <c r="J436" s="242">
        <v>0</v>
      </c>
    </row>
    <row r="437" spans="6:10">
      <c r="F437" s="524" t="s">
        <v>494</v>
      </c>
      <c r="G437" s="237" t="s">
        <v>60</v>
      </c>
      <c r="H437" s="107" t="s">
        <v>290</v>
      </c>
      <c r="I437" s="237" t="str">
        <f t="shared" ref="I437:I438" si="25">F437&amp;G437&amp;H437</f>
        <v>Gift SparklingNCUFTA</v>
      </c>
      <c r="J437" s="238">
        <v>0</v>
      </c>
    </row>
    <row r="438" spans="6:10">
      <c r="F438" s="524" t="s">
        <v>494</v>
      </c>
      <c r="G438" s="240" t="s">
        <v>6</v>
      </c>
      <c r="H438" s="107" t="s">
        <v>290</v>
      </c>
      <c r="I438" s="237" t="str">
        <f t="shared" si="25"/>
        <v>Gift SparklingYCUFTA</v>
      </c>
      <c r="J438" s="242">
        <v>0</v>
      </c>
    </row>
    <row r="439" spans="6:10">
      <c r="F439" s="524" t="s">
        <v>495</v>
      </c>
      <c r="G439" s="237" t="s">
        <v>60</v>
      </c>
      <c r="H439" s="237" t="s">
        <v>186</v>
      </c>
      <c r="I439" s="237" t="str">
        <f t="shared" si="20"/>
        <v>Gift Wine Cream FlavouredNCUSMA</v>
      </c>
      <c r="J439" s="238">
        <v>0</v>
      </c>
    </row>
    <row r="440" spans="6:10">
      <c r="F440" s="524" t="s">
        <v>495</v>
      </c>
      <c r="G440" s="240" t="s">
        <v>60</v>
      </c>
      <c r="H440" s="240" t="s">
        <v>88</v>
      </c>
      <c r="I440" s="237" t="str">
        <f t="shared" si="20"/>
        <v>Gift Wine Cream FlavouredNEU/CETA</v>
      </c>
      <c r="J440" s="242">
        <v>0</v>
      </c>
    </row>
    <row r="441" spans="6:10">
      <c r="F441" s="524" t="s">
        <v>495</v>
      </c>
      <c r="G441" s="237" t="s">
        <v>60</v>
      </c>
      <c r="H441" s="237" t="s">
        <v>10</v>
      </c>
      <c r="I441" s="237" t="str">
        <f t="shared" si="20"/>
        <v>Gift Wine Cream FlavouredNCPTPP</v>
      </c>
      <c r="J441" s="238">
        <v>0</v>
      </c>
    </row>
    <row r="442" spans="6:10">
      <c r="F442" s="524" t="s">
        <v>495</v>
      </c>
      <c r="G442" s="240" t="s">
        <v>60</v>
      </c>
      <c r="H442" s="240" t="s">
        <v>53</v>
      </c>
      <c r="I442" s="237" t="str">
        <f t="shared" si="20"/>
        <v>Gift Wine Cream FlavouredNOther</v>
      </c>
      <c r="J442" s="242">
        <v>0</v>
      </c>
    </row>
    <row r="443" spans="6:10">
      <c r="F443" s="524" t="s">
        <v>495</v>
      </c>
      <c r="G443" s="237" t="s">
        <v>60</v>
      </c>
      <c r="H443" s="237" t="s">
        <v>98</v>
      </c>
      <c r="I443" s="237" t="str">
        <f t="shared" si="20"/>
        <v>Gift Wine Cream FlavouredNDomestic</v>
      </c>
      <c r="J443" s="238">
        <v>0</v>
      </c>
    </row>
    <row r="444" spans="6:10">
      <c r="F444" s="524" t="s">
        <v>495</v>
      </c>
      <c r="G444" s="240" t="s">
        <v>6</v>
      </c>
      <c r="H444" s="240" t="s">
        <v>186</v>
      </c>
      <c r="I444" s="237" t="str">
        <f t="shared" si="20"/>
        <v>Gift Wine Cream FlavouredYCUSMA</v>
      </c>
      <c r="J444" s="242">
        <v>0</v>
      </c>
    </row>
    <row r="445" spans="6:10">
      <c r="F445" s="524" t="s">
        <v>495</v>
      </c>
      <c r="G445" s="237" t="s">
        <v>6</v>
      </c>
      <c r="H445" s="237" t="s">
        <v>88</v>
      </c>
      <c r="I445" s="237" t="str">
        <f t="shared" si="20"/>
        <v>Gift Wine Cream FlavouredYEU/CETA</v>
      </c>
      <c r="J445" s="238">
        <v>0</v>
      </c>
    </row>
    <row r="446" spans="6:10">
      <c r="F446" s="524" t="s">
        <v>495</v>
      </c>
      <c r="G446" s="240" t="s">
        <v>6</v>
      </c>
      <c r="H446" s="240" t="s">
        <v>10</v>
      </c>
      <c r="I446" s="237" t="str">
        <f t="shared" si="20"/>
        <v>Gift Wine Cream FlavouredYCPTPP</v>
      </c>
      <c r="J446" s="242">
        <v>0</v>
      </c>
    </row>
    <row r="447" spans="6:10">
      <c r="F447" s="524" t="s">
        <v>495</v>
      </c>
      <c r="G447" s="237" t="s">
        <v>6</v>
      </c>
      <c r="H447" s="237" t="s">
        <v>53</v>
      </c>
      <c r="I447" s="237" t="str">
        <f t="shared" si="20"/>
        <v>Gift Wine Cream FlavouredYOther</v>
      </c>
      <c r="J447" s="507">
        <v>0</v>
      </c>
    </row>
    <row r="448" spans="6:10">
      <c r="F448" s="524" t="s">
        <v>495</v>
      </c>
      <c r="G448" s="240" t="s">
        <v>6</v>
      </c>
      <c r="H448" s="240" t="s">
        <v>98</v>
      </c>
      <c r="I448" s="237" t="str">
        <f t="shared" si="20"/>
        <v>Gift Wine Cream FlavouredYDomestic</v>
      </c>
      <c r="J448" s="508">
        <v>0</v>
      </c>
    </row>
    <row r="449" spans="6:10">
      <c r="F449" s="524" t="s">
        <v>495</v>
      </c>
      <c r="G449" s="237" t="s">
        <v>60</v>
      </c>
      <c r="H449" s="509" t="s">
        <v>290</v>
      </c>
      <c r="I449" s="237" t="str">
        <f t="shared" ref="I449:I450" si="26">F449&amp;G449&amp;H449</f>
        <v>Gift Wine Cream FlavouredNCUFTA</v>
      </c>
      <c r="J449" s="507">
        <v>0</v>
      </c>
    </row>
    <row r="450" spans="6:10">
      <c r="F450" s="524" t="s">
        <v>495</v>
      </c>
      <c r="G450" s="240" t="s">
        <v>6</v>
      </c>
      <c r="H450" s="509" t="s">
        <v>290</v>
      </c>
      <c r="I450" s="237" t="str">
        <f t="shared" si="26"/>
        <v>Gift Wine Cream FlavouredYCUFTA</v>
      </c>
      <c r="J450" s="508">
        <v>0</v>
      </c>
    </row>
  </sheetData>
  <protectedRanges>
    <protectedRange sqref="B16 B31:B34 B37:B41" name="Range1"/>
  </protectedRanges>
  <autoFilter ref="F135:J365" xr:uid="{C8E8B6CD-7CF2-40BB-8292-C95CDB7EFD27}"/>
  <sortState xmlns:xlrd2="http://schemas.microsoft.com/office/spreadsheetml/2017/richdata2" ref="A148:D165">
    <sortCondition ref="A148:A165"/>
  </sortState>
  <mergeCells count="8">
    <mergeCell ref="M1:O2"/>
    <mergeCell ref="E17:F17"/>
    <mergeCell ref="M3:N3"/>
    <mergeCell ref="M4:M6"/>
    <mergeCell ref="M7:M9"/>
    <mergeCell ref="M10:M12"/>
    <mergeCell ref="M13:M15"/>
    <mergeCell ref="M16:M19"/>
  </mergeCells>
  <phoneticPr fontId="47" type="noConversion"/>
  <hyperlinks>
    <hyperlink ref="B17" r:id="rId1" location="Excise_duty_on_wine" xr:uid="{69EAD2F3-40A6-4162-AE35-160A694A9F50}"/>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7030A0"/>
  </sheetPr>
  <dimension ref="B1:Z53"/>
  <sheetViews>
    <sheetView showGridLines="0" tabSelected="1" zoomScaleNormal="100" workbookViewId="0">
      <selection activeCell="B1" sqref="B1"/>
    </sheetView>
  </sheetViews>
  <sheetFormatPr defaultColWidth="9.84375" defaultRowHeight="14.5"/>
  <cols>
    <col min="1" max="1" width="2.765625" style="1" customWidth="1"/>
    <col min="2" max="2" width="23.23046875" style="1" bestFit="1" customWidth="1"/>
    <col min="3" max="3" width="20.69140625" style="6" customWidth="1"/>
    <col min="4" max="4" width="10.23046875" style="6" customWidth="1"/>
    <col min="5" max="5" width="11.07421875" style="1" customWidth="1"/>
    <col min="6" max="6" width="1.765625" style="1" customWidth="1"/>
    <col min="7" max="7" width="22.07421875" style="1" bestFit="1" customWidth="1"/>
    <col min="8" max="8" width="17.3046875" style="1" customWidth="1"/>
    <col min="9" max="9" width="5.765625" style="1" customWidth="1"/>
    <col min="10" max="10" width="21.53515625" style="1" customWidth="1"/>
    <col min="11" max="11" width="10.765625" style="1" customWidth="1"/>
    <col min="12" max="15" width="8.07421875" style="1" customWidth="1"/>
    <col min="16" max="16" width="17.53515625" style="5" customWidth="1"/>
    <col min="17" max="17" width="20.69140625" style="1" customWidth="1"/>
    <col min="18" max="18" width="9.3046875" style="1" customWidth="1"/>
    <col min="19" max="19" width="12.84375" style="1" customWidth="1"/>
    <col min="20" max="20" width="6.69140625" style="1" bestFit="1" customWidth="1"/>
    <col min="21" max="21" width="12.84375" style="1" bestFit="1" customWidth="1"/>
    <col min="22" max="22" width="11.3046875" style="1" bestFit="1" customWidth="1"/>
    <col min="23" max="23" width="15.4609375" style="1" bestFit="1" customWidth="1"/>
    <col min="24" max="24" width="9.84375" style="1" customWidth="1"/>
    <col min="25" max="25" width="10.84375" style="1" customWidth="1"/>
    <col min="26" max="26" width="73.69140625" style="6" bestFit="1" customWidth="1"/>
    <col min="27" max="27" width="12.84375" style="1" customWidth="1"/>
    <col min="28" max="16384" width="9.84375" style="1"/>
  </cols>
  <sheetData>
    <row r="1" spans="2:26" ht="18.5">
      <c r="B1" s="170" t="s">
        <v>488</v>
      </c>
      <c r="C1" s="3"/>
      <c r="D1" s="3"/>
    </row>
    <row r="2" spans="2:26">
      <c r="B2" s="21"/>
      <c r="Z2" s="1"/>
    </row>
    <row r="3" spans="2:26" ht="15" thickBot="1">
      <c r="B3" s="59" t="s">
        <v>0</v>
      </c>
      <c r="Q3" s="2"/>
      <c r="Z3" s="1"/>
    </row>
    <row r="4" spans="2:26" ht="16" thickBot="1">
      <c r="B4" s="214" t="s">
        <v>1</v>
      </c>
      <c r="C4" s="378"/>
      <c r="D4" s="309"/>
      <c r="G4" s="65" t="s">
        <v>27</v>
      </c>
      <c r="H4" s="99"/>
      <c r="J4" s="285" t="s">
        <v>283</v>
      </c>
      <c r="K4" s="25"/>
      <c r="L4" s="286"/>
      <c r="M4" s="25"/>
      <c r="N4" s="25"/>
      <c r="O4" s="25"/>
      <c r="P4" s="115"/>
      <c r="Z4" s="1"/>
    </row>
    <row r="5" spans="2:26" ht="15" thickBot="1">
      <c r="B5" s="215" t="s">
        <v>5</v>
      </c>
      <c r="C5" s="379"/>
      <c r="D5" s="309"/>
      <c r="G5" s="40" t="s">
        <v>28</v>
      </c>
      <c r="H5" s="41">
        <f>ROUND((C7*C8),4)</f>
        <v>0</v>
      </c>
      <c r="J5" s="293"/>
      <c r="K5" s="294"/>
      <c r="L5" s="294"/>
      <c r="M5" s="294"/>
      <c r="N5" s="294"/>
      <c r="O5" s="294"/>
      <c r="P5" s="295"/>
      <c r="Z5" s="1"/>
    </row>
    <row r="6" spans="2:26" ht="15" thickBot="1">
      <c r="B6" s="215" t="s">
        <v>9</v>
      </c>
      <c r="C6" s="379"/>
      <c r="D6" s="309"/>
      <c r="G6" s="27" t="s">
        <v>29</v>
      </c>
      <c r="H6" s="42" t="e">
        <f>IF(C17=Rates!B107, ROUND(C25*C17,4),ROUND((C10*C11)*C17,4))</f>
        <v>#VALUE!</v>
      </c>
      <c r="J6" s="287"/>
      <c r="K6" s="288"/>
      <c r="L6" s="288"/>
      <c r="M6" s="288"/>
      <c r="N6" s="288"/>
      <c r="O6" s="288"/>
      <c r="P6" s="289"/>
      <c r="Z6" s="1"/>
    </row>
    <row r="7" spans="2:26" ht="15" thickBot="1">
      <c r="B7" s="216" t="s">
        <v>448</v>
      </c>
      <c r="C7" s="380"/>
      <c r="D7" s="309"/>
      <c r="G7" s="43" t="s">
        <v>30</v>
      </c>
      <c r="H7" s="282">
        <f>ROUND((C10*C11)*C16,4)</f>
        <v>0</v>
      </c>
      <c r="J7" s="287"/>
      <c r="K7" s="288"/>
      <c r="L7" s="288"/>
      <c r="M7" s="288"/>
      <c r="N7" s="288"/>
      <c r="O7" s="288"/>
      <c r="P7" s="289"/>
      <c r="Z7" s="1"/>
    </row>
    <row r="8" spans="2:26" ht="15.75" customHeight="1" thickBot="1">
      <c r="B8" s="215" t="s">
        <v>14</v>
      </c>
      <c r="C8" s="381"/>
      <c r="D8" s="309"/>
      <c r="G8" s="43" t="s">
        <v>16</v>
      </c>
      <c r="H8" s="44">
        <f>C9</f>
        <v>0</v>
      </c>
      <c r="J8" s="287"/>
      <c r="K8" s="288"/>
      <c r="L8" s="288"/>
      <c r="M8" s="288"/>
      <c r="N8" s="288"/>
      <c r="O8" s="288"/>
      <c r="P8" s="289"/>
      <c r="Z8" s="1"/>
    </row>
    <row r="9" spans="2:26" ht="15.75" customHeight="1" thickBot="1">
      <c r="B9" s="217" t="s">
        <v>16</v>
      </c>
      <c r="C9" s="380"/>
      <c r="D9" s="308"/>
      <c r="G9" s="43" t="s">
        <v>31</v>
      </c>
      <c r="H9" s="45" t="e">
        <f>ROUND((+H5+H6+H7+H8),4)</f>
        <v>#VALUE!</v>
      </c>
      <c r="J9" s="287"/>
      <c r="K9" s="288"/>
      <c r="L9" s="288"/>
      <c r="M9" s="288"/>
      <c r="N9" s="288"/>
      <c r="O9" s="288"/>
      <c r="P9" s="289"/>
      <c r="Z9" s="1"/>
    </row>
    <row r="10" spans="2:26" ht="15.75" customHeight="1" thickBot="1">
      <c r="B10" s="216" t="s">
        <v>18</v>
      </c>
      <c r="C10" s="382"/>
      <c r="D10" s="310"/>
      <c r="G10" s="43" t="s">
        <v>32</v>
      </c>
      <c r="H10" s="42" t="e">
        <f>ROUND((+H9*C21),4)</f>
        <v>#VALUE!</v>
      </c>
      <c r="J10" s="287"/>
      <c r="K10" s="288"/>
      <c r="L10" s="288"/>
      <c r="M10" s="288"/>
      <c r="N10" s="288"/>
      <c r="O10" s="288"/>
      <c r="P10" s="289"/>
      <c r="Z10" s="1"/>
    </row>
    <row r="11" spans="2:26" ht="15.75" customHeight="1" thickBot="1">
      <c r="B11" s="215" t="s">
        <v>20</v>
      </c>
      <c r="C11" s="383"/>
      <c r="D11" s="311"/>
      <c r="G11" s="43" t="s">
        <v>33</v>
      </c>
      <c r="H11" s="44">
        <f>(+C11*C10)*C19</f>
        <v>0</v>
      </c>
      <c r="J11" s="287"/>
      <c r="K11" s="288"/>
      <c r="L11" s="288"/>
      <c r="M11" s="288"/>
      <c r="N11" s="288"/>
      <c r="O11" s="288"/>
      <c r="P11" s="289"/>
      <c r="Z11" s="1"/>
    </row>
    <row r="12" spans="2:26" ht="15.75" customHeight="1" thickBot="1">
      <c r="B12" s="215" t="s">
        <v>22</v>
      </c>
      <c r="C12" s="384"/>
      <c r="D12" s="312"/>
      <c r="G12" s="43" t="s">
        <v>34</v>
      </c>
      <c r="H12" s="45" t="e">
        <f>SUM(H9:H11)</f>
        <v>#VALUE!</v>
      </c>
      <c r="J12" s="287"/>
      <c r="K12" s="288"/>
      <c r="L12" s="288"/>
      <c r="M12" s="288"/>
      <c r="N12" s="288"/>
      <c r="O12" s="288"/>
      <c r="P12" s="289"/>
      <c r="Z12" s="1"/>
    </row>
    <row r="13" spans="2:26" ht="16.5" customHeight="1" thickBot="1">
      <c r="B13" s="218" t="s">
        <v>24</v>
      </c>
      <c r="C13" s="385"/>
      <c r="D13" s="574" t="s">
        <v>289</v>
      </c>
      <c r="E13" s="575"/>
      <c r="G13" s="27"/>
      <c r="H13" s="42"/>
      <c r="J13" s="287"/>
      <c r="K13" s="288"/>
      <c r="L13" s="288"/>
      <c r="M13" s="288"/>
      <c r="N13" s="288"/>
      <c r="O13" s="288"/>
      <c r="P13" s="289"/>
      <c r="R13" s="30"/>
      <c r="Z13" s="1"/>
    </row>
    <row r="14" spans="2:26" ht="16" thickBot="1">
      <c r="B14" s="317" t="s">
        <v>26</v>
      </c>
      <c r="C14" s="318" t="e">
        <f>H25</f>
        <v>#VALUE!</v>
      </c>
      <c r="D14" s="434" t="e">
        <f>H20+H24</f>
        <v>#VALUE!</v>
      </c>
      <c r="E14" s="315" t="e">
        <f>C14-D14</f>
        <v>#VALUE!</v>
      </c>
      <c r="G14" s="43" t="s">
        <v>35</v>
      </c>
      <c r="H14" s="45" t="e">
        <f>ROUND((+H12/C11),4)</f>
        <v>#VALUE!</v>
      </c>
      <c r="J14" s="287"/>
      <c r="K14" s="288"/>
      <c r="L14" s="288"/>
      <c r="M14" s="288"/>
      <c r="N14" s="288"/>
      <c r="O14" s="288"/>
      <c r="P14" s="289"/>
      <c r="Z14" s="1"/>
    </row>
    <row r="15" spans="2:26" ht="16.5" customHeight="1" thickBot="1">
      <c r="C15" s="25"/>
      <c r="D15" s="284"/>
      <c r="G15" s="43" t="s">
        <v>36</v>
      </c>
      <c r="H15" s="42">
        <f>C20*C10</f>
        <v>0</v>
      </c>
      <c r="J15" s="287"/>
      <c r="K15" s="288"/>
      <c r="L15" s="288"/>
      <c r="M15" s="288"/>
      <c r="N15" s="288"/>
      <c r="O15" s="288"/>
      <c r="P15" s="289"/>
      <c r="Z15" s="1"/>
    </row>
    <row r="16" spans="2:26">
      <c r="B16" s="52" t="s">
        <v>3</v>
      </c>
      <c r="C16" s="431">
        <f>IF(C6="Domestic",0,IF(C13&gt;=7.1,Rates!C23,IF(C13&lt;1.2,Rates!C20,Rates!C22)))</f>
        <v>0</v>
      </c>
      <c r="D16" s="305"/>
      <c r="G16" s="43" t="s">
        <v>37</v>
      </c>
      <c r="H16" s="42">
        <f>ROUND(C10*C18,4)</f>
        <v>0</v>
      </c>
      <c r="J16" s="287"/>
      <c r="K16" s="288"/>
      <c r="L16" s="288"/>
      <c r="M16" s="288"/>
      <c r="N16" s="288"/>
      <c r="O16" s="288"/>
      <c r="P16" s="289"/>
      <c r="Z16" s="1"/>
    </row>
    <row r="17" spans="2:26" ht="15.75" customHeight="1" thickBot="1">
      <c r="B17" s="53" t="s">
        <v>7</v>
      </c>
      <c r="C17" s="359" t="e">
        <f>VLOOKUP((C4&amp;C5&amp;C6),Rates!I:J,2,FALSE)</f>
        <v>#VALUE!</v>
      </c>
      <c r="D17" s="305"/>
      <c r="G17" s="43" t="s">
        <v>19</v>
      </c>
      <c r="H17" s="46">
        <f>C12*C22</f>
        <v>0</v>
      </c>
      <c r="J17" s="290"/>
      <c r="K17" s="291"/>
      <c r="L17" s="291"/>
      <c r="M17" s="291"/>
      <c r="N17" s="291"/>
      <c r="O17" s="291"/>
      <c r="P17" s="292"/>
      <c r="Z17" s="1"/>
    </row>
    <row r="18" spans="2:26" ht="15.75" customHeight="1">
      <c r="B18" s="43" t="s">
        <v>11</v>
      </c>
      <c r="C18" s="359">
        <f>(VLOOKUP(C6,Rates!B135:D140,3,TRUE))</f>
        <v>0.67530000000000001</v>
      </c>
      <c r="D18" s="305"/>
      <c r="G18" s="43" t="s">
        <v>38</v>
      </c>
      <c r="H18" s="45" t="e">
        <f>H14+H15+H16+H17</f>
        <v>#VALUE!</v>
      </c>
      <c r="Z18" s="1"/>
    </row>
    <row r="19" spans="2:26" ht="15.75" customHeight="1">
      <c r="B19" s="43" t="s">
        <v>13</v>
      </c>
      <c r="C19" s="359">
        <f>VLOOKUP(C4,Rates!A44:B50,2,FALSE)</f>
        <v>0</v>
      </c>
      <c r="D19" s="305"/>
      <c r="G19" s="43" t="s">
        <v>21</v>
      </c>
      <c r="H19" s="44" t="e">
        <f>ROUND(+H18*C23,4)</f>
        <v>#VALUE!</v>
      </c>
      <c r="J19" s="485"/>
      <c r="K19" s="486"/>
      <c r="L19" s="487"/>
      <c r="Z19" s="1"/>
    </row>
    <row r="20" spans="2:26">
      <c r="B20" s="43" t="s">
        <v>15</v>
      </c>
      <c r="C20" s="359">
        <f>Rates!B53</f>
        <v>0.28999999999999998</v>
      </c>
      <c r="D20" s="574" t="s">
        <v>284</v>
      </c>
      <c r="E20" s="575"/>
      <c r="G20" s="43" t="s">
        <v>39</v>
      </c>
      <c r="H20" s="45" t="e">
        <f>SUM(H18:H19)</f>
        <v>#VALUE!</v>
      </c>
      <c r="J20" s="488"/>
      <c r="K20" s="489"/>
      <c r="L20" s="487"/>
      <c r="Z20" s="1"/>
    </row>
    <row r="21" spans="2:26">
      <c r="B21" s="54" t="s">
        <v>17</v>
      </c>
      <c r="C21" s="313">
        <f>VLOOKUP(C4,Rates!A58:B65,2,TRUE)</f>
        <v>1.3969999999999998</v>
      </c>
      <c r="D21" s="316" t="e">
        <f>C35</f>
        <v>#VALUE!</v>
      </c>
      <c r="E21" s="315" t="e">
        <f>D21-C21</f>
        <v>#VALUE!</v>
      </c>
      <c r="F21" s="314"/>
      <c r="G21" s="297" t="s">
        <v>288</v>
      </c>
      <c r="H21" s="298" t="e">
        <f>H23-H22</f>
        <v>#VALUE!</v>
      </c>
      <c r="J21" s="490"/>
      <c r="K21" s="491"/>
      <c r="L21" s="487"/>
      <c r="Z21" s="1"/>
    </row>
    <row r="22" spans="2:26">
      <c r="B22" s="55" t="s">
        <v>19</v>
      </c>
      <c r="C22" s="361">
        <f>Rates!B77</f>
        <v>8.9300000000000004E-2</v>
      </c>
      <c r="D22" s="306"/>
      <c r="G22" s="297" t="s">
        <v>21</v>
      </c>
      <c r="H22" s="299" t="e">
        <f>ROUND(H23*C23/(1+C23),2)</f>
        <v>#VALUE!</v>
      </c>
      <c r="J22" s="490"/>
      <c r="K22" s="491"/>
      <c r="L22" s="487"/>
    </row>
    <row r="23" spans="2:26">
      <c r="B23" s="43" t="s">
        <v>21</v>
      </c>
      <c r="C23" s="313">
        <f>Rates!B79</f>
        <v>0.13</v>
      </c>
      <c r="D23" s="305"/>
      <c r="G23" s="297" t="s">
        <v>49</v>
      </c>
      <c r="H23" s="300" t="e">
        <f>IF(C35&lt;C21,C39+0.05,C39)</f>
        <v>#VALUE!</v>
      </c>
      <c r="J23" s="492"/>
      <c r="K23" s="491"/>
      <c r="L23" s="487"/>
    </row>
    <row r="24" spans="2:26" ht="15" thickBot="1">
      <c r="B24" s="43" t="s">
        <v>23</v>
      </c>
      <c r="C24" s="360" t="e">
        <f>IF(C10/C12&gt;0.63,0.2,IF(C10/C12&gt;0.1,0.1,0))</f>
        <v>#DIV/0!</v>
      </c>
      <c r="D24" s="305"/>
      <c r="G24" s="301" t="s">
        <v>42</v>
      </c>
      <c r="H24" s="302" t="e">
        <f>C12*C24</f>
        <v>#DIV/0!</v>
      </c>
      <c r="J24" s="487"/>
      <c r="K24" s="491"/>
      <c r="L24" s="487"/>
    </row>
    <row r="25" spans="2:26" ht="16" thickBot="1">
      <c r="B25" s="56" t="s">
        <v>25</v>
      </c>
      <c r="C25" s="362">
        <f>+ROUND(((C10*C11)*C13),4)</f>
        <v>0</v>
      </c>
      <c r="D25" s="305"/>
      <c r="G25" s="303" t="s">
        <v>43</v>
      </c>
      <c r="H25" s="304" t="e">
        <f>SUM(H23+H24)</f>
        <v>#VALUE!</v>
      </c>
      <c r="J25" s="493"/>
      <c r="K25" s="494"/>
      <c r="L25" s="487"/>
    </row>
    <row r="26" spans="2:26">
      <c r="J26" s="487"/>
      <c r="K26" s="487"/>
      <c r="L26" s="487"/>
    </row>
    <row r="27" spans="2:26" ht="15.5">
      <c r="D27" s="296"/>
      <c r="G27" s="1" t="s">
        <v>4</v>
      </c>
      <c r="H27" s="6"/>
      <c r="J27" s="485"/>
      <c r="K27" s="486"/>
      <c r="L27" s="487"/>
    </row>
    <row r="28" spans="2:26">
      <c r="B28" s="448"/>
      <c r="G28" s="223" t="s">
        <v>8</v>
      </c>
      <c r="H28" s="6"/>
      <c r="J28" s="488"/>
      <c r="K28" s="489"/>
      <c r="L28" s="487"/>
    </row>
    <row r="29" spans="2:26">
      <c r="J29" s="490"/>
      <c r="K29" s="491"/>
      <c r="L29" s="487"/>
    </row>
    <row r="30" spans="2:26" ht="15" thickBot="1">
      <c r="J30" s="490"/>
      <c r="K30" s="491"/>
      <c r="L30" s="487"/>
    </row>
    <row r="31" spans="2:26" hidden="1">
      <c r="B31" s="1" t="s">
        <v>44</v>
      </c>
      <c r="C31" s="96" t="e">
        <f>ROUND(((+(H21-H15-H17)*C11-H11)/H9-1),4)</f>
        <v>#VALUE!</v>
      </c>
      <c r="D31" s="96"/>
      <c r="J31" s="492"/>
      <c r="K31" s="491"/>
      <c r="L31" s="487"/>
      <c r="Q31" s="2"/>
    </row>
    <row r="32" spans="2:26" hidden="1">
      <c r="B32" s="1" t="s">
        <v>45</v>
      </c>
      <c r="C32" s="19" t="e">
        <f>ROUND(+H21-(H9/C11),2)</f>
        <v>#VALUE!</v>
      </c>
      <c r="D32" s="19"/>
      <c r="J32" s="487"/>
      <c r="K32" s="491"/>
      <c r="L32" s="487"/>
    </row>
    <row r="33" spans="2:26" hidden="1">
      <c r="B33" s="1" t="s">
        <v>46</v>
      </c>
      <c r="C33" s="20" t="e">
        <f>ROUND(+C32/H18,3)</f>
        <v>#VALUE!</v>
      </c>
      <c r="D33" s="20"/>
      <c r="J33" s="493"/>
      <c r="K33" s="494"/>
      <c r="L33" s="487"/>
    </row>
    <row r="34" spans="2:26" hidden="1">
      <c r="J34" s="487"/>
      <c r="K34" s="487"/>
      <c r="L34" s="487"/>
      <c r="P34" s="6"/>
    </row>
    <row r="35" spans="2:26" hidden="1">
      <c r="B35" s="9" t="s">
        <v>47</v>
      </c>
      <c r="C35" s="97" t="e">
        <f>ROUND((((C37-H17-H15-H16)*C11-H11)/H9-1),4)</f>
        <v>#VALUE!</v>
      </c>
      <c r="D35" s="97"/>
      <c r="J35" s="487"/>
      <c r="K35" s="487"/>
      <c r="L35" s="487"/>
      <c r="P35" s="6"/>
    </row>
    <row r="36" spans="2:26" hidden="1">
      <c r="B36" s="98"/>
      <c r="J36" s="487"/>
      <c r="K36" s="487"/>
      <c r="L36" s="487"/>
      <c r="P36" s="1"/>
    </row>
    <row r="37" spans="2:26" hidden="1">
      <c r="B37" s="1" t="s">
        <v>48</v>
      </c>
      <c r="C37" s="280" t="e">
        <f>C39-C38</f>
        <v>#VALUE!</v>
      </c>
      <c r="D37" s="280"/>
      <c r="J37" s="487"/>
      <c r="K37" s="487"/>
      <c r="L37" s="487"/>
      <c r="Q37" s="18"/>
    </row>
    <row r="38" spans="2:26" hidden="1">
      <c r="B38" s="1" t="s">
        <v>21</v>
      </c>
      <c r="C38" s="281" t="e">
        <f>ROUND(C39*C23/(1+C23),2)</f>
        <v>#VALUE!</v>
      </c>
      <c r="D38" s="307"/>
      <c r="J38" s="487"/>
      <c r="K38" s="487"/>
      <c r="L38" s="487"/>
    </row>
    <row r="39" spans="2:26" hidden="1">
      <c r="B39" s="1" t="s">
        <v>49</v>
      </c>
      <c r="C39" s="280" t="e">
        <f>IF(MOD(H20*1000,50)&gt;24.99,CEILING(H20,0.05),FLOOR(H20,0.05))</f>
        <v>#VALUE!</v>
      </c>
      <c r="D39" s="280"/>
      <c r="J39" s="487"/>
      <c r="K39" s="487"/>
      <c r="L39" s="487"/>
    </row>
    <row r="40" spans="2:26" hidden="1">
      <c r="B40" s="5"/>
      <c r="J40" s="487"/>
      <c r="K40" s="487"/>
      <c r="L40" s="487"/>
      <c r="X40" s="6"/>
      <c r="Z40" s="1"/>
    </row>
    <row r="41" spans="2:26" hidden="1">
      <c r="B41" s="17"/>
      <c r="C41" s="97"/>
      <c r="D41" s="97"/>
      <c r="J41" s="487"/>
      <c r="K41" s="487"/>
      <c r="L41" s="487"/>
      <c r="X41" s="6"/>
      <c r="Z41" s="1"/>
    </row>
    <row r="42" spans="2:26" hidden="1">
      <c r="B42" s="9" t="s">
        <v>47</v>
      </c>
      <c r="C42" s="97" t="e">
        <f>ROUND((((H18-H17-H15-H16)*C11-H11)/H9-1),4)</f>
        <v>#VALUE!</v>
      </c>
      <c r="D42" s="97"/>
      <c r="J42" s="487"/>
      <c r="K42" s="487"/>
      <c r="L42" s="487"/>
      <c r="X42" s="6"/>
      <c r="Z42" s="1"/>
    </row>
    <row r="43" spans="2:26" hidden="1">
      <c r="B43" s="8"/>
      <c r="C43" s="1"/>
      <c r="D43" s="1"/>
      <c r="J43" s="487"/>
      <c r="K43" s="487"/>
      <c r="L43" s="487"/>
      <c r="X43" s="6"/>
      <c r="Z43" s="1"/>
    </row>
    <row r="44" spans="2:26" hidden="1">
      <c r="B44" s="17"/>
      <c r="C44" s="1"/>
      <c r="D44" s="1"/>
      <c r="J44" s="487"/>
      <c r="K44" s="487"/>
      <c r="L44" s="487"/>
      <c r="X44" s="6"/>
      <c r="Z44" s="1"/>
    </row>
    <row r="45" spans="2:26" ht="15" thickBot="1">
      <c r="C45" s="1"/>
      <c r="D45" s="1"/>
      <c r="G45" s="527" t="s">
        <v>496</v>
      </c>
      <c r="H45" s="528"/>
      <c r="J45" s="492"/>
      <c r="K45" s="491"/>
      <c r="L45" s="487"/>
    </row>
    <row r="46" spans="2:26">
      <c r="B46" s="17"/>
      <c r="C46" s="1"/>
      <c r="D46" s="1"/>
      <c r="G46" s="530" t="s">
        <v>497</v>
      </c>
      <c r="H46" s="531" t="e">
        <f>H18</f>
        <v>#VALUE!</v>
      </c>
      <c r="J46" s="487"/>
      <c r="K46" s="491"/>
      <c r="L46" s="487"/>
    </row>
    <row r="47" spans="2:26">
      <c r="G47" s="530"/>
      <c r="H47" s="532"/>
      <c r="J47" s="493"/>
      <c r="K47" s="494"/>
      <c r="L47" s="487"/>
    </row>
    <row r="48" spans="2:26">
      <c r="G48" s="530" t="s">
        <v>498</v>
      </c>
      <c r="H48" s="531" t="e">
        <f>SUM(H46*10%)</f>
        <v>#VALUE!</v>
      </c>
    </row>
    <row r="49" spans="7:8">
      <c r="G49" s="530" t="s">
        <v>500</v>
      </c>
      <c r="H49" s="531" t="e">
        <f>SUM(H46-H48)</f>
        <v>#VALUE!</v>
      </c>
    </row>
    <row r="50" spans="7:8">
      <c r="G50" s="530" t="s">
        <v>21</v>
      </c>
      <c r="H50" s="531" t="e">
        <f>SUM(H49*C23)</f>
        <v>#VALUE!</v>
      </c>
    </row>
    <row r="51" spans="7:8" ht="15" thickBot="1">
      <c r="G51" s="530" t="s">
        <v>499</v>
      </c>
      <c r="H51" s="531" t="e">
        <f>C24</f>
        <v>#DIV/0!</v>
      </c>
    </row>
    <row r="52" spans="7:8" ht="15" thickBot="1">
      <c r="G52" s="527" t="s">
        <v>501</v>
      </c>
      <c r="H52" s="529" t="e">
        <f>SUM(H49+H50+H51)</f>
        <v>#VALUE!</v>
      </c>
    </row>
    <row r="53" spans="7:8">
      <c r="G53" s="533" t="s">
        <v>502</v>
      </c>
    </row>
  </sheetData>
  <sheetProtection formatCells="0" formatColumns="0" pivotTables="0"/>
  <protectedRanges>
    <protectedRange password="CCE3" sqref="B18:C24 D18:D20 D22:D24" name="Range3"/>
  </protectedRanges>
  <dataConsolidate link="1"/>
  <mergeCells count="2">
    <mergeCell ref="D20:E20"/>
    <mergeCell ref="D13:E13"/>
  </mergeCells>
  <phoneticPr fontId="0" type="noConversion"/>
  <conditionalFormatting sqref="D27">
    <cfRule type="cellIs" dxfId="59" priority="6" operator="greaterThan">
      <formula>0</formula>
    </cfRule>
  </conditionalFormatting>
  <conditionalFormatting sqref="E14">
    <cfRule type="cellIs" dxfId="58" priority="1" operator="lessThan">
      <formula>0</formula>
    </cfRule>
    <cfRule type="cellIs" dxfId="57" priority="2" operator="greaterThan">
      <formula>0</formula>
    </cfRule>
    <cfRule type="cellIs" dxfId="56" priority="3" operator="greaterThan">
      <formula>0</formula>
    </cfRule>
  </conditionalFormatting>
  <conditionalFormatting sqref="E21:F21">
    <cfRule type="cellIs" dxfId="55" priority="4" operator="lessThan">
      <formula>0</formula>
    </cfRule>
    <cfRule type="cellIs" dxfId="54" priority="5" operator="greaterThan">
      <formula>0</formula>
    </cfRule>
  </conditionalFormatting>
  <hyperlinks>
    <hyperlink ref="G28" r:id="rId1" display="https://www.doingbusinesswithlcbo.com/content/dbwl/en/basepage/home/new-supplier-agent/Pricing/HelpfulToolsandLinks.html" xr:uid="{0B331672-912B-46FD-9AC1-0B1FE23E70FB}"/>
  </hyperlinks>
  <printOptions horizontalCentered="1" gridLinesSet="0"/>
  <pageMargins left="0" right="0" top="0" bottom="0" header="0.511811023622047" footer="0.511811023622047"/>
  <pageSetup scale="44" orientation="portrait" horizontalDpi="300" verticalDpi="300" r:id="rId2"/>
  <headerFooter alignWithMargins="0"/>
  <colBreaks count="1" manualBreakCount="1">
    <brk id="16" max="35" man="1"/>
  </col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prompt="Pick from drop-down list" xr:uid="{00000000-0002-0000-0000-000002000000}">
          <x14:formula1>
            <xm:f>Rates!$A$58:$A$64</xm:f>
          </x14:formula1>
          <xm:sqref>C4</xm:sqref>
        </x14:dataValidation>
        <x14:dataValidation type="list" showInputMessage="1" showErrorMessage="1" prompt="Pick from drop-down list_x000a_" xr:uid="{3F14830C-7F53-4FE5-B23A-571A66959D37}">
          <x14:formula1>
            <xm:f>Rates!$A$94:$A$95</xm:f>
          </x14:formula1>
          <xm:sqref>C5</xm:sqref>
        </x14:dataValidation>
        <x14:dataValidation type="list" showInputMessage="1" showErrorMessage="1" prompt="Pick from drop-down list_x000a_" xr:uid="{00000000-0002-0000-0000-000001000000}">
          <x14:formula1>
            <xm:f>Rates!$B$135:$B$140</xm:f>
          </x14:formula1>
          <xm:sqref>C6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81D4-F420-46DA-8837-D5793B45278B}">
  <sheetPr codeName="Sheet3">
    <tabColor theme="7" tint="-0.249977111117893"/>
  </sheetPr>
  <dimension ref="B1:U44"/>
  <sheetViews>
    <sheetView zoomScaleNormal="100" workbookViewId="0">
      <selection activeCell="B1" sqref="B1"/>
    </sheetView>
  </sheetViews>
  <sheetFormatPr defaultColWidth="7.4609375" defaultRowHeight="14.5"/>
  <cols>
    <col min="1" max="1" width="2.765625" style="1" customWidth="1"/>
    <col min="2" max="2" width="23.3046875" style="1" customWidth="1"/>
    <col min="3" max="3" width="20.69140625" style="6" customWidth="1"/>
    <col min="4" max="4" width="9.69140625" style="6" customWidth="1"/>
    <col min="5" max="5" width="9.07421875" style="6" customWidth="1"/>
    <col min="6" max="6" width="1.765625" style="6" customWidth="1"/>
    <col min="7" max="7" width="22.23046875" style="6" customWidth="1"/>
    <col min="8" max="8" width="20.765625" style="1" customWidth="1"/>
    <col min="9" max="9" width="5.765625" style="1" customWidth="1"/>
    <col min="10" max="10" width="20.69140625" style="1" customWidth="1"/>
    <col min="11" max="11" width="10.765625" style="1" customWidth="1"/>
    <col min="12" max="12" width="8.23046875" style="1" customWidth="1"/>
    <col min="13" max="13" width="5.84375" style="1" customWidth="1"/>
    <col min="14" max="14" width="2" style="1" customWidth="1"/>
    <col min="15" max="15" width="12.84375" style="1" customWidth="1"/>
    <col min="16" max="17" width="12" style="1" customWidth="1"/>
    <col min="18" max="18" width="12.84375" style="1" bestFit="1" customWidth="1"/>
    <col min="19" max="19" width="16.765625" style="1" customWidth="1"/>
    <col min="20" max="20" width="10.4609375" style="1" customWidth="1"/>
    <col min="21" max="16384" width="7.4609375" style="1"/>
  </cols>
  <sheetData>
    <row r="1" spans="2:20" ht="18.5">
      <c r="B1" s="170" t="s">
        <v>488</v>
      </c>
      <c r="C1" s="3"/>
      <c r="D1" s="3"/>
      <c r="E1" s="3"/>
      <c r="F1" s="3"/>
      <c r="G1" s="3"/>
      <c r="S1" s="6"/>
    </row>
    <row r="2" spans="2:20">
      <c r="B2" s="21"/>
      <c r="I2" s="2"/>
      <c r="J2" s="2"/>
      <c r="K2" s="4"/>
      <c r="S2" s="6"/>
    </row>
    <row r="3" spans="2:20" ht="15" thickBot="1">
      <c r="B3" s="59" t="s">
        <v>0</v>
      </c>
      <c r="I3" s="2"/>
      <c r="J3" s="2"/>
      <c r="K3" s="39"/>
      <c r="S3" s="6"/>
    </row>
    <row r="4" spans="2:20" ht="16" thickBot="1">
      <c r="B4" s="31" t="s">
        <v>50</v>
      </c>
      <c r="C4" s="386"/>
      <c r="G4" s="65" t="s">
        <v>55</v>
      </c>
      <c r="H4" s="99"/>
      <c r="J4" s="285" t="s">
        <v>283</v>
      </c>
      <c r="K4" s="25"/>
      <c r="L4" s="286"/>
      <c r="M4" s="25"/>
      <c r="N4" s="25"/>
      <c r="O4" s="25"/>
      <c r="P4" s="115"/>
    </row>
    <row r="5" spans="2:20" ht="15" thickBot="1">
      <c r="B5" s="33" t="s">
        <v>52</v>
      </c>
      <c r="C5" s="387"/>
      <c r="G5" s="40" t="s">
        <v>56</v>
      </c>
      <c r="H5" s="103">
        <f>ROUND(C7*C8,4)</f>
        <v>0</v>
      </c>
      <c r="J5" s="293"/>
      <c r="K5" s="294"/>
      <c r="L5" s="294"/>
      <c r="M5" s="294"/>
      <c r="N5" s="294"/>
      <c r="O5" s="294"/>
      <c r="P5" s="295"/>
    </row>
    <row r="6" spans="2:20" ht="15" thickBot="1">
      <c r="B6" s="215" t="s">
        <v>9</v>
      </c>
      <c r="C6" s="387"/>
      <c r="G6" s="27" t="s">
        <v>29</v>
      </c>
      <c r="H6" s="42" t="e">
        <f>ROUND(C10*C11*C13*C17,4)</f>
        <v>#N/A</v>
      </c>
      <c r="J6" s="287"/>
      <c r="K6" s="288"/>
      <c r="L6" s="288"/>
      <c r="M6" s="288"/>
      <c r="N6" s="288"/>
      <c r="O6" s="288"/>
      <c r="P6" s="289"/>
      <c r="R6" s="26"/>
    </row>
    <row r="7" spans="2:20" ht="15" thickBot="1">
      <c r="B7" s="33" t="s">
        <v>448</v>
      </c>
      <c r="C7" s="388"/>
      <c r="G7" s="43" t="s">
        <v>281</v>
      </c>
      <c r="H7" s="282">
        <f>ROUND(C10*C11*C13*C16,4)</f>
        <v>0</v>
      </c>
      <c r="J7" s="287"/>
      <c r="K7" s="288"/>
      <c r="L7" s="288"/>
      <c r="M7" s="288"/>
      <c r="N7" s="288"/>
      <c r="O7" s="288"/>
      <c r="P7" s="289"/>
    </row>
    <row r="8" spans="2:20" ht="15" thickBot="1">
      <c r="B8" s="215" t="s">
        <v>14</v>
      </c>
      <c r="C8" s="389"/>
      <c r="G8" s="43" t="s">
        <v>16</v>
      </c>
      <c r="H8" s="42">
        <f>C9</f>
        <v>0</v>
      </c>
      <c r="J8" s="287"/>
      <c r="K8" s="288"/>
      <c r="L8" s="288"/>
      <c r="M8" s="288"/>
      <c r="N8" s="288"/>
      <c r="O8" s="288"/>
      <c r="P8" s="289"/>
      <c r="R8" s="26"/>
    </row>
    <row r="9" spans="2:20" ht="15" thickBot="1">
      <c r="B9" s="217" t="s">
        <v>16</v>
      </c>
      <c r="C9" s="388"/>
      <c r="G9" s="43" t="s">
        <v>31</v>
      </c>
      <c r="H9" s="44" t="e">
        <f>SUM(H5:H8)</f>
        <v>#N/A</v>
      </c>
      <c r="J9" s="287"/>
      <c r="K9" s="288"/>
      <c r="L9" s="288"/>
      <c r="M9" s="288"/>
      <c r="N9" s="288"/>
      <c r="O9" s="288"/>
      <c r="P9" s="289"/>
    </row>
    <row r="10" spans="2:20" ht="15" thickBot="1">
      <c r="B10" s="216" t="s">
        <v>18</v>
      </c>
      <c r="C10" s="390"/>
      <c r="G10" s="43" t="s">
        <v>57</v>
      </c>
      <c r="H10" s="45" t="e">
        <f>ROUND(H9*C19,4)</f>
        <v>#N/A</v>
      </c>
      <c r="J10" s="287"/>
      <c r="K10" s="288"/>
      <c r="L10" s="288"/>
      <c r="M10" s="288"/>
      <c r="N10" s="288"/>
      <c r="O10" s="288"/>
      <c r="P10" s="289"/>
      <c r="R10" s="26"/>
    </row>
    <row r="11" spans="2:20" ht="15" thickBot="1">
      <c r="B11" s="215" t="s">
        <v>20</v>
      </c>
      <c r="C11" s="391"/>
      <c r="G11" s="43" t="s">
        <v>58</v>
      </c>
      <c r="H11" s="42" t="e">
        <f>SUM(H9:H10)</f>
        <v>#N/A</v>
      </c>
      <c r="J11" s="287"/>
      <c r="K11" s="288"/>
      <c r="L11" s="288"/>
      <c r="M11" s="288"/>
      <c r="N11" s="288"/>
      <c r="O11" s="288"/>
      <c r="P11" s="289"/>
    </row>
    <row r="12" spans="2:20" ht="15" thickBot="1">
      <c r="B12" s="215" t="s">
        <v>22</v>
      </c>
      <c r="C12" s="391"/>
      <c r="G12" s="43"/>
      <c r="H12" s="80"/>
      <c r="J12" s="287"/>
      <c r="K12" s="288"/>
      <c r="L12" s="288"/>
      <c r="M12" s="288"/>
      <c r="N12" s="288"/>
      <c r="O12" s="288"/>
      <c r="P12" s="289"/>
      <c r="R12" s="26"/>
    </row>
    <row r="13" spans="2:20" ht="15" thickBot="1">
      <c r="B13" s="218" t="s">
        <v>24</v>
      </c>
      <c r="C13" s="392"/>
      <c r="D13" s="574" t="s">
        <v>289</v>
      </c>
      <c r="E13" s="575"/>
      <c r="G13" s="43" t="s">
        <v>35</v>
      </c>
      <c r="H13" s="45" t="e">
        <f>ROUND(H11/C11,4)</f>
        <v>#N/A</v>
      </c>
      <c r="J13" s="287"/>
      <c r="K13" s="288"/>
      <c r="L13" s="288"/>
      <c r="M13" s="288"/>
      <c r="N13" s="288"/>
      <c r="O13" s="288"/>
      <c r="P13" s="289"/>
    </row>
    <row r="14" spans="2:20" ht="15" thickBot="1">
      <c r="B14" s="335" t="s">
        <v>26</v>
      </c>
      <c r="C14" s="336" t="e">
        <f>H24</f>
        <v>#N/A</v>
      </c>
      <c r="D14" s="434" t="e">
        <f>H19+H23</f>
        <v>#N/A</v>
      </c>
      <c r="E14" s="315" t="e">
        <f>C14-D14</f>
        <v>#N/A</v>
      </c>
      <c r="G14" s="43" t="s">
        <v>36</v>
      </c>
      <c r="H14" s="42">
        <f>ROUND(C20*C10,4)</f>
        <v>0</v>
      </c>
      <c r="J14" s="287"/>
      <c r="K14" s="288"/>
      <c r="L14" s="288"/>
      <c r="M14" s="288"/>
      <c r="N14" s="288"/>
      <c r="O14" s="288"/>
      <c r="P14" s="289"/>
    </row>
    <row r="15" spans="2:20" ht="15" thickBot="1">
      <c r="C15" s="25"/>
      <c r="D15" s="284"/>
      <c r="E15" s="284"/>
      <c r="G15" s="43" t="s">
        <v>37</v>
      </c>
      <c r="H15" s="42" t="e">
        <f>ROUND(C10*C18,4)</f>
        <v>#N/A</v>
      </c>
      <c r="J15" s="287"/>
      <c r="K15" s="288"/>
      <c r="L15" s="288"/>
      <c r="M15" s="288"/>
      <c r="N15" s="288"/>
      <c r="O15" s="288"/>
      <c r="P15" s="289"/>
    </row>
    <row r="16" spans="2:20" ht="15" thickBot="1">
      <c r="B16" s="52" t="s">
        <v>3</v>
      </c>
      <c r="C16" s="431">
        <f>IF(C6="Domestic",0,IF(C13&gt;=7.1%,Rates!B28,Rates!B27))</f>
        <v>0.35099999999999998</v>
      </c>
      <c r="D16" s="319"/>
      <c r="E16" s="319"/>
      <c r="F16" s="319"/>
      <c r="G16" s="43" t="s">
        <v>19</v>
      </c>
      <c r="H16" s="46">
        <f>ROUND(C21*C12,4)</f>
        <v>0</v>
      </c>
      <c r="J16" s="290"/>
      <c r="K16" s="291"/>
      <c r="L16" s="291"/>
      <c r="M16" s="291"/>
      <c r="N16" s="291"/>
      <c r="O16" s="291"/>
      <c r="P16" s="292"/>
      <c r="Q16" s="7"/>
      <c r="R16" s="3"/>
      <c r="S16" s="7"/>
      <c r="T16" s="3"/>
    </row>
    <row r="17" spans="2:21">
      <c r="B17" s="43" t="s">
        <v>7</v>
      </c>
      <c r="C17" s="359" t="e">
        <f>VLOOKUP((C4&amp;C5&amp;C6),Rates!I:J,2,FALSE)</f>
        <v>#N/A</v>
      </c>
      <c r="D17" s="320"/>
      <c r="E17" s="320"/>
      <c r="F17" s="320"/>
      <c r="G17" s="43" t="s">
        <v>38</v>
      </c>
      <c r="H17" s="45" t="e">
        <f>SUM(H13:H16)</f>
        <v>#N/A</v>
      </c>
      <c r="P17" s="18"/>
      <c r="Q17" s="7"/>
      <c r="S17" s="3"/>
      <c r="T17" s="29"/>
    </row>
    <row r="18" spans="2:21" ht="15.5">
      <c r="B18" s="27" t="s">
        <v>11</v>
      </c>
      <c r="C18" s="359" t="e">
        <f>VLOOKUP(C6,Rates!B142:D147,3,FALSE)</f>
        <v>#N/A</v>
      </c>
      <c r="D18" s="574" t="s">
        <v>284</v>
      </c>
      <c r="E18" s="575"/>
      <c r="F18" s="321"/>
      <c r="G18" s="43" t="s">
        <v>21</v>
      </c>
      <c r="H18" s="44" t="e">
        <f>ROUND(H17*C22,4)</f>
        <v>#N/A</v>
      </c>
      <c r="J18" s="485"/>
      <c r="Q18" s="29"/>
      <c r="R18" s="29"/>
    </row>
    <row r="19" spans="2:21">
      <c r="B19" s="43" t="s">
        <v>17</v>
      </c>
      <c r="C19" s="356" t="e">
        <f>VLOOKUP(C4,Rates!A72:B75,2,FALSE)</f>
        <v>#N/A</v>
      </c>
      <c r="D19" s="316" t="e">
        <f>C33</f>
        <v>#N/A</v>
      </c>
      <c r="E19" s="315" t="e">
        <f>D19-C19</f>
        <v>#N/A</v>
      </c>
      <c r="F19" s="322"/>
      <c r="G19" s="43" t="s">
        <v>39</v>
      </c>
      <c r="H19" s="45" t="e">
        <f>SUM(H17:H18)</f>
        <v>#N/A</v>
      </c>
      <c r="Q19" s="29"/>
      <c r="R19" s="29"/>
    </row>
    <row r="20" spans="2:21">
      <c r="B20" s="43" t="s">
        <v>54</v>
      </c>
      <c r="C20" s="359">
        <f>Rates!B54</f>
        <v>0.38</v>
      </c>
      <c r="D20" s="321"/>
      <c r="E20" s="321"/>
      <c r="F20" s="321"/>
      <c r="G20" s="331" t="s">
        <v>288</v>
      </c>
      <c r="H20" s="332" t="e">
        <f>H22-H21</f>
        <v>#N/A</v>
      </c>
      <c r="Q20" s="18"/>
    </row>
    <row r="21" spans="2:21">
      <c r="B21" s="43" t="s">
        <v>19</v>
      </c>
      <c r="C21" s="359">
        <f>Rates!B77</f>
        <v>8.9300000000000004E-2</v>
      </c>
      <c r="D21" s="323"/>
      <c r="E21" s="323"/>
      <c r="F21" s="323"/>
      <c r="G21" s="331" t="s">
        <v>21</v>
      </c>
      <c r="H21" s="333" t="e">
        <f>ROUND(H22*C22/(1+C22),2)</f>
        <v>#N/A</v>
      </c>
      <c r="Q21" s="29"/>
      <c r="R21" s="18"/>
      <c r="S21" s="18"/>
    </row>
    <row r="22" spans="2:21">
      <c r="B22" s="43" t="s">
        <v>21</v>
      </c>
      <c r="C22" s="356">
        <f>Rates!B79</f>
        <v>0.13</v>
      </c>
      <c r="D22" s="324"/>
      <c r="E22" s="324"/>
      <c r="F22" s="324"/>
      <c r="G22" s="331" t="s">
        <v>49</v>
      </c>
      <c r="H22" s="334" t="e">
        <f>IF(C33&lt;C19,C31+0.05,C31)</f>
        <v>#N/A</v>
      </c>
      <c r="Q22" s="29"/>
      <c r="R22" s="18"/>
      <c r="S22" s="18"/>
    </row>
    <row r="23" spans="2:21" ht="15" thickBot="1">
      <c r="B23" s="56" t="s">
        <v>23</v>
      </c>
      <c r="C23" s="355" t="e">
        <f>IF(C10/C12&gt;0.63,0.2,IF(C10/C12&gt;0.1,0.1,0))</f>
        <v>#DIV/0!</v>
      </c>
      <c r="D23" s="321"/>
      <c r="E23" s="321"/>
      <c r="F23" s="321"/>
      <c r="G23" s="43" t="s">
        <v>42</v>
      </c>
      <c r="H23" s="51" t="e">
        <f>ROUND(C12*C23,2)</f>
        <v>#DIV/0!</v>
      </c>
      <c r="Q23" s="29"/>
      <c r="R23" s="18"/>
      <c r="S23" s="18"/>
    </row>
    <row r="24" spans="2:21" ht="16" thickBot="1">
      <c r="D24" s="325"/>
      <c r="E24" s="325"/>
      <c r="F24" s="325"/>
      <c r="G24" s="57" t="s">
        <v>43</v>
      </c>
      <c r="H24" s="58" t="e">
        <f>SUM(H22:H23)</f>
        <v>#N/A</v>
      </c>
      <c r="Q24" s="29"/>
      <c r="R24" s="18"/>
      <c r="S24" s="18"/>
    </row>
    <row r="25" spans="2:21" hidden="1">
      <c r="B25" s="1" t="s">
        <v>44</v>
      </c>
      <c r="C25" s="23" t="e">
        <f>ROUND(((H20-H16-H14-H15)*C11)/H9-1,4)</f>
        <v>#N/A</v>
      </c>
      <c r="D25" s="324"/>
      <c r="E25" s="324"/>
      <c r="F25" s="324"/>
      <c r="G25" s="326"/>
      <c r="H25" s="82"/>
      <c r="Q25" s="29"/>
      <c r="R25" s="18"/>
      <c r="S25" s="81"/>
    </row>
    <row r="26" spans="2:21" hidden="1">
      <c r="B26" s="1" t="s">
        <v>45</v>
      </c>
      <c r="C26" s="30" t="e">
        <f>ROUND(+H20-(H9/C11),4)</f>
        <v>#N/A</v>
      </c>
      <c r="D26" s="321"/>
      <c r="E26" s="321"/>
      <c r="F26" s="321"/>
      <c r="Q26" s="29"/>
      <c r="R26" s="18"/>
    </row>
    <row r="27" spans="2:21" hidden="1">
      <c r="B27" s="1" t="s">
        <v>46</v>
      </c>
      <c r="C27" s="20" t="e">
        <f>ROUND(C26/H17,3)</f>
        <v>#N/A</v>
      </c>
      <c r="D27" s="321"/>
      <c r="E27" s="321"/>
      <c r="F27" s="321"/>
      <c r="Q27" s="29"/>
      <c r="R27" s="18"/>
      <c r="S27" s="18"/>
    </row>
    <row r="28" spans="2:21" hidden="1">
      <c r="C28" s="20"/>
      <c r="D28" s="326"/>
      <c r="E28" s="326"/>
      <c r="F28" s="326"/>
      <c r="G28" s="324"/>
      <c r="H28" s="82"/>
      <c r="Q28" s="29"/>
      <c r="R28" s="18"/>
      <c r="S28" s="18"/>
    </row>
    <row r="29" spans="2:21" hidden="1">
      <c r="B29" s="1" t="s">
        <v>48</v>
      </c>
      <c r="C29" s="85" t="e">
        <f>C31-C30</f>
        <v>#N/A</v>
      </c>
      <c r="D29" s="324"/>
      <c r="E29" s="324"/>
      <c r="F29" s="324"/>
      <c r="G29" s="324"/>
      <c r="H29" s="82"/>
      <c r="K29" s="75"/>
      <c r="Q29" s="29"/>
      <c r="R29" s="19"/>
      <c r="S29" s="18"/>
    </row>
    <row r="30" spans="2:21" hidden="1">
      <c r="B30" s="1" t="s">
        <v>21</v>
      </c>
      <c r="C30" s="85" t="e">
        <f>ROUND(C31*C22/(1+C22),2)</f>
        <v>#N/A</v>
      </c>
      <c r="D30" s="1"/>
      <c r="E30" s="1"/>
      <c r="F30" s="1"/>
      <c r="G30" s="327"/>
      <c r="H30" s="75"/>
      <c r="J30" s="75"/>
      <c r="K30" s="75"/>
      <c r="P30" s="75"/>
      <c r="Q30" s="29"/>
      <c r="R30" s="18"/>
      <c r="S30" s="18"/>
    </row>
    <row r="31" spans="2:21" ht="15" hidden="1" customHeight="1">
      <c r="B31" s="1" t="s">
        <v>49</v>
      </c>
      <c r="C31" s="85" t="e">
        <f>IF(MOD(H19*1000,50)&gt;24.99,CEILING(H19,0.05),FLOOR(H19,0.05))</f>
        <v>#N/A</v>
      </c>
      <c r="D31" s="1"/>
      <c r="E31" s="1"/>
      <c r="F31" s="1"/>
      <c r="G31" s="328"/>
      <c r="H31" s="75"/>
      <c r="J31" s="75"/>
      <c r="K31" s="75"/>
      <c r="P31" s="75"/>
      <c r="Q31" s="29"/>
      <c r="R31" s="18"/>
      <c r="S31" s="18"/>
    </row>
    <row r="32" spans="2:21" hidden="1">
      <c r="D32" s="324"/>
      <c r="E32" s="324"/>
      <c r="F32" s="324"/>
      <c r="G32" s="320"/>
      <c r="H32" s="75"/>
      <c r="J32" s="75"/>
      <c r="P32" s="75"/>
      <c r="Q32" s="29"/>
      <c r="R32" s="18"/>
      <c r="T32" s="5"/>
      <c r="U32" s="5"/>
    </row>
    <row r="33" spans="2:21" s="75" customFormat="1" hidden="1">
      <c r="B33" s="9" t="s">
        <v>47</v>
      </c>
      <c r="C33" s="88" t="e">
        <f>ROUND(((C29-H16-H14-H15)*C11)/H9-1,4)</f>
        <v>#N/A</v>
      </c>
      <c r="D33" s="327"/>
      <c r="E33" s="327"/>
      <c r="F33" s="327"/>
      <c r="G33" s="327"/>
      <c r="H33" s="9"/>
      <c r="J33" s="1"/>
      <c r="K33" s="1"/>
      <c r="L33" s="1"/>
      <c r="M33" s="1"/>
      <c r="N33" s="1"/>
      <c r="O33" s="1"/>
      <c r="P33" s="1"/>
      <c r="Q33" s="77"/>
      <c r="R33" s="91"/>
      <c r="S33" s="92"/>
      <c r="T33" s="76"/>
      <c r="U33" s="76"/>
    </row>
    <row r="34" spans="2:21" s="75" customFormat="1">
      <c r="D34" s="327"/>
      <c r="E34" s="327"/>
      <c r="F34" s="327"/>
      <c r="G34" s="327"/>
      <c r="H34" s="14"/>
      <c r="J34" s="1"/>
      <c r="K34" s="284"/>
      <c r="L34" s="1"/>
      <c r="M34" s="1"/>
      <c r="N34" s="1"/>
      <c r="O34" s="1"/>
      <c r="P34" s="1"/>
      <c r="Q34" s="77"/>
      <c r="R34" s="91"/>
      <c r="S34" s="92"/>
      <c r="T34" s="76"/>
      <c r="U34" s="76"/>
    </row>
    <row r="35" spans="2:21" ht="15" thickBot="1">
      <c r="D35" s="327"/>
      <c r="E35" s="327"/>
      <c r="F35" s="327"/>
      <c r="G35" s="1"/>
      <c r="K35" s="284"/>
    </row>
    <row r="36" spans="2:21" ht="15" thickBot="1">
      <c r="D36" s="327"/>
      <c r="E36" s="327"/>
      <c r="F36" s="327"/>
      <c r="G36" s="527" t="s">
        <v>496</v>
      </c>
      <c r="H36" s="528"/>
      <c r="K36" s="284"/>
    </row>
    <row r="37" spans="2:21">
      <c r="D37" s="327"/>
      <c r="E37" s="327"/>
      <c r="F37" s="327"/>
      <c r="G37" s="530" t="s">
        <v>497</v>
      </c>
      <c r="H37" s="531" t="e">
        <f>H17</f>
        <v>#N/A</v>
      </c>
      <c r="K37" s="284"/>
    </row>
    <row r="38" spans="2:21">
      <c r="D38" s="85"/>
      <c r="E38" s="85"/>
      <c r="F38" s="85"/>
      <c r="G38" s="530"/>
      <c r="H38" s="532"/>
      <c r="K38" s="284"/>
    </row>
    <row r="39" spans="2:21">
      <c r="D39" s="85"/>
      <c r="E39" s="85"/>
      <c r="F39" s="85"/>
      <c r="G39" s="530" t="s">
        <v>498</v>
      </c>
      <c r="H39" s="531" t="e">
        <f>SUM(H37*10%)</f>
        <v>#N/A</v>
      </c>
    </row>
    <row r="40" spans="2:21">
      <c r="G40" s="530" t="s">
        <v>500</v>
      </c>
      <c r="H40" s="531" t="e">
        <f>SUM(H37-H39)</f>
        <v>#N/A</v>
      </c>
    </row>
    <row r="41" spans="2:21">
      <c r="D41" s="88"/>
      <c r="E41" s="88"/>
      <c r="F41" s="88"/>
      <c r="G41" s="530" t="s">
        <v>21</v>
      </c>
      <c r="H41" s="531" t="e">
        <f>SUM(H40*C22)</f>
        <v>#N/A</v>
      </c>
    </row>
    <row r="42" spans="2:21" ht="15" thickBot="1">
      <c r="G42" s="530" t="s">
        <v>499</v>
      </c>
      <c r="H42" s="531" t="e">
        <f>C23</f>
        <v>#DIV/0!</v>
      </c>
    </row>
    <row r="43" spans="2:21" ht="15" thickBot="1">
      <c r="G43" s="527" t="s">
        <v>501</v>
      </c>
      <c r="H43" s="529" t="e">
        <f>SUM(H40+H41+H42)</f>
        <v>#N/A</v>
      </c>
    </row>
    <row r="44" spans="2:21">
      <c r="G44" s="533" t="s">
        <v>502</v>
      </c>
    </row>
  </sheetData>
  <sheetProtection formatColumns="0" pivotTables="0"/>
  <protectedRanges>
    <protectedRange sqref="B4:B5 C17 C7:C13" name="Range1_1"/>
    <protectedRange password="CCE3" sqref="D18" name="Range3"/>
    <protectedRange password="CCE3" sqref="B23" name="Range3_2"/>
  </protectedRanges>
  <mergeCells count="2">
    <mergeCell ref="D13:E13"/>
    <mergeCell ref="D18:E18"/>
  </mergeCells>
  <conditionalFormatting sqref="E14">
    <cfRule type="cellIs" dxfId="53" priority="4" operator="lessThan">
      <formula>0</formula>
    </cfRule>
    <cfRule type="cellIs" dxfId="52" priority="5" operator="greaterThan">
      <formula>0</formula>
    </cfRule>
    <cfRule type="cellIs" dxfId="51" priority="6" operator="greaterThan">
      <formula>0</formula>
    </cfRule>
  </conditionalFormatting>
  <conditionalFormatting sqref="E19">
    <cfRule type="cellIs" dxfId="50" priority="1" operator="lessThan">
      <formula>0</formula>
    </cfRule>
    <cfRule type="cellIs" dxfId="49" priority="2" operator="greaterThan">
      <formula>0</formula>
    </cfRule>
    <cfRule type="cellIs" dxfId="48" priority="3" operator="greaterThan">
      <formula>0</formula>
    </cfRule>
  </conditionalFormatting>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3">
        <x14:dataValidation type="list" showInputMessage="1" showErrorMessage="1" prompt="Pick from drop-down list_x000a_" xr:uid="{76008C4B-38DF-44DA-9B88-FC04A6F824F3}">
          <x14:formula1>
            <xm:f>Rates!$A$94:$A$95</xm:f>
          </x14:formula1>
          <xm:sqref>C5</xm:sqref>
        </x14:dataValidation>
        <x14:dataValidation type="list" allowBlank="1" showInputMessage="1" showErrorMessage="1" xr:uid="{12F3B265-360E-4F93-938C-1FEA6BA48F2A}">
          <x14:formula1>
            <xm:f>Rates!$A$72:$A$75</xm:f>
          </x14:formula1>
          <xm:sqref>C4</xm:sqref>
        </x14:dataValidation>
        <x14:dataValidation type="list" showInputMessage="1" showErrorMessage="1" prompt="Pick from drop-down list_x000a_" xr:uid="{1AAEB29F-075C-4FB3-A499-D4C80CC9D1DC}">
          <x14:formula1>
            <xm:f>Rates!$B$142:$B$147</xm:f>
          </x14:formula1>
          <xm:sqref>C6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D464-4221-4507-B9B5-A5C5888105C0}">
  <sheetPr codeName="Sheet4">
    <tabColor theme="7" tint="-0.249977111117893"/>
  </sheetPr>
  <dimension ref="B1:W57"/>
  <sheetViews>
    <sheetView zoomScale="93" zoomScaleNormal="100" workbookViewId="0">
      <selection activeCell="B1" sqref="B1"/>
    </sheetView>
  </sheetViews>
  <sheetFormatPr defaultColWidth="7.4609375" defaultRowHeight="14.5"/>
  <cols>
    <col min="1" max="1" width="2.765625" style="1" customWidth="1"/>
    <col min="2" max="2" width="23.3046875" style="1" customWidth="1"/>
    <col min="3" max="3" width="20.69140625" style="6" customWidth="1"/>
    <col min="4" max="4" width="7.4609375" style="6" customWidth="1"/>
    <col min="5" max="5" width="9.4609375" style="6" customWidth="1"/>
    <col min="6" max="6" width="1.765625" style="6" customWidth="1"/>
    <col min="7" max="7" width="23.23046875" style="6" customWidth="1"/>
    <col min="8" max="8" width="20.69140625" style="6" customWidth="1"/>
    <col min="9" max="9" width="5.765625" style="6" customWidth="1"/>
    <col min="10" max="10" width="17.69140625" style="1" bestFit="1" customWidth="1"/>
    <col min="11" max="11" width="10.765625" style="1" customWidth="1"/>
    <col min="12" max="12" width="8.69140625" style="1" customWidth="1"/>
    <col min="13" max="13" width="8.23046875" style="1" customWidth="1"/>
    <col min="14" max="14" width="6.53515625" style="1" customWidth="1"/>
    <col min="15" max="15" width="4.69140625" style="1" customWidth="1"/>
    <col min="16" max="16" width="16.23046875" style="1" customWidth="1"/>
    <col min="17" max="17" width="12.84375" style="1" customWidth="1"/>
    <col min="18" max="19" width="12" style="1" customWidth="1"/>
    <col min="20" max="20" width="12.84375" style="1" bestFit="1" customWidth="1"/>
    <col min="21" max="21" width="16.765625" style="1" customWidth="1"/>
    <col min="22" max="22" width="10.4609375" style="1" customWidth="1"/>
    <col min="23" max="16384" width="7.4609375" style="1"/>
  </cols>
  <sheetData>
    <row r="1" spans="2:22" ht="18.5">
      <c r="B1" s="170" t="s">
        <v>488</v>
      </c>
      <c r="C1" s="3"/>
      <c r="D1" s="3"/>
      <c r="E1" s="3"/>
      <c r="F1" s="3"/>
      <c r="G1" s="3"/>
      <c r="H1" s="3"/>
      <c r="I1" s="3"/>
      <c r="U1" s="6"/>
    </row>
    <row r="2" spans="2:22">
      <c r="B2" s="21"/>
      <c r="K2" s="2"/>
      <c r="L2" s="2"/>
      <c r="M2" s="4"/>
      <c r="U2" s="6"/>
    </row>
    <row r="3" spans="2:22" ht="15" thickBot="1">
      <c r="B3" s="59" t="s">
        <v>0</v>
      </c>
      <c r="K3" s="2"/>
      <c r="L3" s="2"/>
      <c r="M3" s="39"/>
      <c r="U3" s="6"/>
    </row>
    <row r="4" spans="2:22" ht="16" thickBot="1">
      <c r="B4" s="31" t="s">
        <v>142</v>
      </c>
      <c r="C4" s="393"/>
      <c r="G4" s="65" t="s">
        <v>55</v>
      </c>
      <c r="H4" s="99"/>
      <c r="J4" s="285" t="s">
        <v>283</v>
      </c>
      <c r="K4" s="25"/>
      <c r="L4" s="286"/>
      <c r="M4" s="25"/>
      <c r="N4" s="25"/>
      <c r="O4" s="25"/>
      <c r="P4" s="115"/>
    </row>
    <row r="5" spans="2:22" ht="15" thickBot="1">
      <c r="B5" s="33" t="s">
        <v>52</v>
      </c>
      <c r="C5" s="394"/>
      <c r="G5" s="40" t="s">
        <v>56</v>
      </c>
      <c r="H5" s="41">
        <f>ROUND(C7*C8,4)</f>
        <v>0</v>
      </c>
      <c r="J5" s="293"/>
      <c r="K5" s="294"/>
      <c r="L5" s="294"/>
      <c r="M5" s="294"/>
      <c r="N5" s="294"/>
      <c r="O5" s="294"/>
      <c r="P5" s="295"/>
    </row>
    <row r="6" spans="2:22" ht="15" thickBot="1">
      <c r="B6" s="215" t="s">
        <v>9</v>
      </c>
      <c r="C6" s="394"/>
      <c r="G6" s="27" t="s">
        <v>30</v>
      </c>
      <c r="H6" s="282" t="e">
        <f>IF(C4=Rates!A66, ROUND(C11*C10*C13*C16,4),ROUND(+C11*C10*C16,4))</f>
        <v>#N/A</v>
      </c>
      <c r="J6" s="287"/>
      <c r="K6" s="288"/>
      <c r="L6" s="288"/>
      <c r="M6" s="288"/>
      <c r="N6" s="288"/>
      <c r="O6" s="288"/>
      <c r="P6" s="289"/>
      <c r="T6" s="26"/>
    </row>
    <row r="7" spans="2:22" ht="15" thickBot="1">
      <c r="B7" s="33" t="s">
        <v>448</v>
      </c>
      <c r="C7" s="395"/>
      <c r="G7" s="27" t="s">
        <v>29</v>
      </c>
      <c r="H7" s="42" t="b">
        <f>IF(C4=Rates!A66,ROUND(C11*C10*C13*C17,4),IF(C4=Rates!A67,ROUND((C17*C24),4),IF(C4=Rates!A69,ROUND((C17*C24),4),IF(C4=Rates!A68,ROUND((C17*C24),4),IF(C4=Rates!A70,ROUND(+H5*C17,4),IF(C4=Rates!A71,ROUND(+C12*C11,4)*C17))))))</f>
        <v>0</v>
      </c>
      <c r="J7" s="287"/>
      <c r="K7" s="288"/>
      <c r="L7" s="288"/>
      <c r="M7" s="288"/>
      <c r="N7" s="288"/>
      <c r="O7" s="288"/>
      <c r="P7" s="289"/>
    </row>
    <row r="8" spans="2:22" ht="15" thickBot="1">
      <c r="B8" s="215" t="s">
        <v>14</v>
      </c>
      <c r="C8" s="396"/>
      <c r="G8" s="43" t="s">
        <v>16</v>
      </c>
      <c r="H8" s="42">
        <f>C9</f>
        <v>0</v>
      </c>
      <c r="J8" s="287"/>
      <c r="K8" s="288"/>
      <c r="L8" s="288"/>
      <c r="M8" s="288"/>
      <c r="N8" s="288"/>
      <c r="O8" s="288"/>
      <c r="P8" s="289"/>
      <c r="T8" s="26"/>
    </row>
    <row r="9" spans="2:22" ht="15" thickBot="1">
      <c r="B9" s="217" t="s">
        <v>16</v>
      </c>
      <c r="C9" s="395"/>
      <c r="G9" s="43" t="s">
        <v>31</v>
      </c>
      <c r="H9" s="44" t="e">
        <f>SUM(H5:H8)</f>
        <v>#N/A</v>
      </c>
      <c r="J9" s="287"/>
      <c r="K9" s="288"/>
      <c r="L9" s="288"/>
      <c r="M9" s="288"/>
      <c r="N9" s="288"/>
      <c r="O9" s="288"/>
      <c r="P9" s="289"/>
    </row>
    <row r="10" spans="2:22" ht="15" thickBot="1">
      <c r="B10" s="216" t="s">
        <v>18</v>
      </c>
      <c r="C10" s="397"/>
      <c r="G10" s="43" t="s">
        <v>57</v>
      </c>
      <c r="H10" s="45" t="e">
        <f>ROUND(H9*C19,4)</f>
        <v>#N/A</v>
      </c>
      <c r="J10" s="287"/>
      <c r="K10" s="288"/>
      <c r="L10" s="288"/>
      <c r="M10" s="288"/>
      <c r="N10" s="288"/>
      <c r="O10" s="288"/>
      <c r="P10" s="289"/>
      <c r="T10" s="26"/>
    </row>
    <row r="11" spans="2:22" ht="15" thickBot="1">
      <c r="B11" s="215" t="s">
        <v>20</v>
      </c>
      <c r="C11" s="398"/>
      <c r="G11" s="43" t="s">
        <v>58</v>
      </c>
      <c r="H11" s="42" t="e">
        <f>SUM(H9:H10)</f>
        <v>#N/A</v>
      </c>
      <c r="J11" s="287"/>
      <c r="K11" s="288"/>
      <c r="L11" s="288"/>
      <c r="M11" s="288"/>
      <c r="N11" s="288"/>
      <c r="O11" s="288"/>
      <c r="P11" s="289"/>
    </row>
    <row r="12" spans="2:22" ht="15" thickBot="1">
      <c r="B12" s="215" t="s">
        <v>22</v>
      </c>
      <c r="C12" s="398"/>
      <c r="G12" s="43"/>
      <c r="H12" s="80"/>
      <c r="J12" s="287"/>
      <c r="K12" s="288"/>
      <c r="L12" s="288"/>
      <c r="M12" s="288"/>
      <c r="N12" s="288"/>
      <c r="O12" s="288"/>
      <c r="P12" s="289"/>
      <c r="T12" s="26"/>
    </row>
    <row r="13" spans="2:22" ht="15" thickBot="1">
      <c r="B13" s="218" t="s">
        <v>24</v>
      </c>
      <c r="C13" s="438"/>
      <c r="D13" s="574" t="s">
        <v>289</v>
      </c>
      <c r="E13" s="575"/>
      <c r="G13" s="43" t="s">
        <v>35</v>
      </c>
      <c r="H13" s="45" t="e">
        <f>ROUND(H11/C11,4)</f>
        <v>#N/A</v>
      </c>
      <c r="J13" s="287"/>
      <c r="K13" s="288"/>
      <c r="L13" s="288"/>
      <c r="M13" s="288"/>
      <c r="N13" s="288"/>
      <c r="O13" s="288"/>
      <c r="P13" s="289"/>
    </row>
    <row r="14" spans="2:22" ht="15" thickBot="1">
      <c r="B14" s="335" t="s">
        <v>26</v>
      </c>
      <c r="C14" s="336" t="e">
        <f>H24</f>
        <v>#N/A</v>
      </c>
      <c r="D14" s="434" t="e">
        <f>H19+H23</f>
        <v>#N/A</v>
      </c>
      <c r="E14" s="315" t="e">
        <f>C14-D14</f>
        <v>#N/A</v>
      </c>
      <c r="G14" s="43" t="s">
        <v>36</v>
      </c>
      <c r="H14" s="42">
        <f>ROUND(C20*C10,4)</f>
        <v>0</v>
      </c>
      <c r="J14" s="287"/>
      <c r="K14" s="288"/>
      <c r="L14" s="288"/>
      <c r="M14" s="288"/>
      <c r="N14" s="288"/>
      <c r="O14" s="288"/>
      <c r="P14" s="289"/>
    </row>
    <row r="15" spans="2:22" ht="15" thickBot="1">
      <c r="C15" s="25"/>
      <c r="G15" s="43" t="s">
        <v>37</v>
      </c>
      <c r="H15" s="42" t="e">
        <f>ROUND(C10*C18,4)</f>
        <v>#N/A</v>
      </c>
      <c r="J15" s="287"/>
      <c r="K15" s="288"/>
      <c r="L15" s="288"/>
      <c r="M15" s="288"/>
      <c r="N15" s="288"/>
      <c r="O15" s="288"/>
      <c r="P15" s="289"/>
    </row>
    <row r="16" spans="2:22" ht="15" thickBot="1">
      <c r="B16" s="52" t="s">
        <v>3</v>
      </c>
      <c r="C16" s="376" t="e">
        <f>IF(C6="Domestic",0,VLOOKUP(C4,Rates!E18:F27,2,FALSE))</f>
        <v>#N/A</v>
      </c>
      <c r="G16" s="43" t="s">
        <v>19</v>
      </c>
      <c r="H16" s="46">
        <f>ROUND(C21*C12,4)</f>
        <v>0</v>
      </c>
      <c r="J16" s="290"/>
      <c r="K16" s="291"/>
      <c r="L16" s="291"/>
      <c r="M16" s="291"/>
      <c r="N16" s="291"/>
      <c r="O16" s="291"/>
      <c r="P16" s="292"/>
      <c r="S16" s="7"/>
      <c r="T16" s="3"/>
      <c r="U16" s="7"/>
      <c r="V16" s="3"/>
    </row>
    <row r="17" spans="2:23">
      <c r="B17" s="43" t="s">
        <v>7</v>
      </c>
      <c r="C17" s="359">
        <f>IF(C5="Y",0,(IF(C6="Domestic",0,IF(C4="Still Cider",Rates!B130,IF(C4="Sparkling Cider",Rates!B131,Rates!B132)))))</f>
        <v>0.12280000000000001</v>
      </c>
      <c r="G17" s="43" t="s">
        <v>38</v>
      </c>
      <c r="H17" s="45" t="e">
        <f>SUM(H13:H16)</f>
        <v>#N/A</v>
      </c>
      <c r="J17" s="8"/>
      <c r="S17" s="7"/>
      <c r="U17" s="3"/>
      <c r="V17" s="29"/>
    </row>
    <row r="18" spans="2:23" ht="15.5">
      <c r="B18" s="27" t="s">
        <v>11</v>
      </c>
      <c r="C18" s="359" t="e">
        <f>VLOOKUP(C4&amp;C6,Rates!C:D,2,FALSE)</f>
        <v>#N/A</v>
      </c>
      <c r="D18" s="574" t="s">
        <v>284</v>
      </c>
      <c r="E18" s="575"/>
      <c r="F18" s="322"/>
      <c r="G18" s="43" t="s">
        <v>21</v>
      </c>
      <c r="H18" s="44" t="e">
        <f>ROUND(H17*C22,4)</f>
        <v>#N/A</v>
      </c>
      <c r="J18" s="485"/>
      <c r="K18" s="486"/>
      <c r="S18" s="29"/>
      <c r="T18" s="29"/>
    </row>
    <row r="19" spans="2:23">
      <c r="B19" s="43" t="s">
        <v>17</v>
      </c>
      <c r="C19" s="356" t="e">
        <f>VLOOKUP(C4,Rates!A66:B71,2,0)</f>
        <v>#N/A</v>
      </c>
      <c r="D19" s="316" t="e">
        <f>C37</f>
        <v>#N/A</v>
      </c>
      <c r="E19" s="315" t="e">
        <f>D19-C19</f>
        <v>#N/A</v>
      </c>
      <c r="F19" s="321"/>
      <c r="G19" s="43" t="s">
        <v>39</v>
      </c>
      <c r="H19" s="45" t="e">
        <f>SUM(H17:H18)</f>
        <v>#N/A</v>
      </c>
      <c r="J19" s="88"/>
      <c r="K19" s="88"/>
      <c r="R19" s="18"/>
      <c r="S19" s="18"/>
    </row>
    <row r="20" spans="2:23">
      <c r="B20" s="43" t="s">
        <v>36</v>
      </c>
      <c r="C20" s="354">
        <f>IF(C4=Rates!A66,Rates!B54,Rates!B55)</f>
        <v>0.28000000000000003</v>
      </c>
      <c r="D20" s="321"/>
      <c r="E20" s="321"/>
      <c r="F20" s="321"/>
      <c r="G20" s="331" t="s">
        <v>288</v>
      </c>
      <c r="H20" s="49" t="e">
        <f>H22-H21</f>
        <v>#N/A</v>
      </c>
      <c r="J20" s="6"/>
      <c r="K20" s="6"/>
      <c r="S20" s="29"/>
      <c r="T20" s="18"/>
      <c r="U20" s="18"/>
    </row>
    <row r="21" spans="2:23">
      <c r="B21" s="43" t="s">
        <v>19</v>
      </c>
      <c r="C21" s="354">
        <f>Rates!B77</f>
        <v>8.9300000000000004E-2</v>
      </c>
      <c r="D21" s="323"/>
      <c r="E21" s="323"/>
      <c r="F21" s="323"/>
      <c r="G21" s="331" t="s">
        <v>21</v>
      </c>
      <c r="H21" s="78" t="e">
        <f>ROUND(H22*C22/(1+C22),2)</f>
        <v>#N/A</v>
      </c>
      <c r="J21" s="6"/>
      <c r="K21" s="6"/>
      <c r="S21" s="29"/>
      <c r="T21" s="18"/>
      <c r="U21" s="18"/>
    </row>
    <row r="22" spans="2:23">
      <c r="B22" s="43" t="s">
        <v>21</v>
      </c>
      <c r="C22" s="356">
        <f>Rates!B79</f>
        <v>0.13</v>
      </c>
      <c r="D22" s="324"/>
      <c r="E22" s="324"/>
      <c r="F22" s="324"/>
      <c r="G22" s="331" t="s">
        <v>49</v>
      </c>
      <c r="H22" s="50" t="e">
        <f>IF(C37&lt;C19,C35+0.05,C35)</f>
        <v>#N/A</v>
      </c>
      <c r="J22" s="6"/>
      <c r="K22" s="6"/>
      <c r="S22" s="29"/>
      <c r="T22" s="18"/>
      <c r="U22" s="18"/>
    </row>
    <row r="23" spans="2:23" ht="15" thickBot="1">
      <c r="B23" s="43" t="s">
        <v>23</v>
      </c>
      <c r="C23" s="354" t="e">
        <f>IF(C10/C12&gt;0.63,0.2,IF(C10/C12&gt;0.1,0.1,0))</f>
        <v>#DIV/0!</v>
      </c>
      <c r="D23" s="321"/>
      <c r="E23" s="321"/>
      <c r="F23" s="321"/>
      <c r="G23" s="43" t="s">
        <v>42</v>
      </c>
      <c r="H23" s="51" t="e">
        <f>ROUND(C12*C23,2)</f>
        <v>#DIV/0!</v>
      </c>
      <c r="J23" s="6"/>
      <c r="K23" s="6"/>
      <c r="S23" s="29"/>
      <c r="T23" s="18"/>
      <c r="U23" s="18"/>
    </row>
    <row r="24" spans="2:23" ht="16" thickBot="1">
      <c r="B24" s="56" t="s">
        <v>25</v>
      </c>
      <c r="C24" s="358">
        <f>+ROUND(((C10*C11)*C13),4)</f>
        <v>0</v>
      </c>
      <c r="D24" s="325"/>
      <c r="E24" s="325"/>
      <c r="F24" s="325"/>
      <c r="G24" s="57" t="s">
        <v>43</v>
      </c>
      <c r="H24" s="58" t="e">
        <f>SUM(H22:H23)</f>
        <v>#N/A</v>
      </c>
      <c r="J24" s="6"/>
      <c r="K24" s="6"/>
      <c r="S24" s="29"/>
      <c r="T24" s="18"/>
      <c r="U24" s="81"/>
    </row>
    <row r="25" spans="2:23">
      <c r="D25" s="324"/>
      <c r="E25" s="324"/>
      <c r="F25" s="324"/>
      <c r="G25" s="326"/>
      <c r="H25" s="326"/>
      <c r="J25" s="6"/>
      <c r="K25" s="6"/>
      <c r="S25" s="29"/>
      <c r="T25" s="18"/>
    </row>
    <row r="26" spans="2:23">
      <c r="D26" s="321"/>
      <c r="E26" s="321"/>
      <c r="F26" s="321"/>
      <c r="G26" s="1" t="s">
        <v>4</v>
      </c>
      <c r="H26" s="324"/>
      <c r="J26" s="6"/>
      <c r="K26" s="6"/>
      <c r="L26" s="75"/>
      <c r="M26" s="75"/>
      <c r="S26" s="29"/>
      <c r="T26" s="18"/>
      <c r="U26" s="18"/>
    </row>
    <row r="27" spans="2:23">
      <c r="D27" s="321"/>
      <c r="E27" s="321"/>
      <c r="F27" s="321"/>
      <c r="G27" s="223" t="s">
        <v>8</v>
      </c>
      <c r="H27" s="323"/>
      <c r="J27" s="6"/>
      <c r="K27" s="6"/>
      <c r="L27" s="75"/>
      <c r="S27" s="29"/>
      <c r="T27" s="18"/>
      <c r="U27" s="18"/>
    </row>
    <row r="28" spans="2:23" ht="15" customHeight="1" thickBot="1">
      <c r="D28" s="323"/>
      <c r="E28" s="323"/>
      <c r="F28" s="323"/>
      <c r="G28" s="320"/>
      <c r="H28" s="320"/>
      <c r="I28" s="323"/>
      <c r="J28" s="6"/>
      <c r="K28" s="6"/>
      <c r="S28" s="29"/>
      <c r="T28" s="18"/>
      <c r="U28" s="18"/>
    </row>
    <row r="29" spans="2:23" s="75" customFormat="1" hidden="1">
      <c r="B29" s="1" t="s">
        <v>44</v>
      </c>
      <c r="C29" s="23" t="e">
        <f>ROUND(((H20-H16-H14-H15)*C11)/H9-1,4)</f>
        <v>#N/A</v>
      </c>
      <c r="D29" s="320"/>
      <c r="E29" s="320"/>
      <c r="F29" s="320"/>
      <c r="G29" s="319"/>
      <c r="H29" s="319"/>
      <c r="I29" s="320"/>
      <c r="J29" s="6"/>
      <c r="K29" s="6"/>
      <c r="L29" s="1"/>
      <c r="M29" s="1"/>
      <c r="N29" s="1"/>
      <c r="O29" s="1"/>
      <c r="P29" s="1"/>
      <c r="Q29" s="1"/>
      <c r="S29" s="77"/>
      <c r="T29" s="91"/>
      <c r="U29" s="92"/>
      <c r="V29" s="76"/>
      <c r="W29" s="76"/>
    </row>
    <row r="30" spans="2:23" s="75" customFormat="1" hidden="1">
      <c r="B30" s="1" t="s">
        <v>45</v>
      </c>
      <c r="C30" s="30" t="e">
        <f>ROUND(+H20-(H9/C11),4)</f>
        <v>#N/A</v>
      </c>
      <c r="D30" s="328"/>
      <c r="E30" s="328"/>
      <c r="F30" s="328"/>
      <c r="G30" s="329"/>
      <c r="H30" s="329"/>
      <c r="I30" s="328"/>
      <c r="J30" s="6"/>
      <c r="K30" s="6"/>
      <c r="L30" s="1"/>
      <c r="M30" s="1"/>
      <c r="N30" s="1"/>
      <c r="O30" s="1"/>
      <c r="P30" s="1"/>
      <c r="Q30" s="1"/>
      <c r="S30" s="77"/>
      <c r="T30" s="91"/>
      <c r="U30" s="92"/>
      <c r="V30" s="76"/>
      <c r="W30" s="76"/>
    </row>
    <row r="31" spans="2:23" hidden="1">
      <c r="B31" s="1" t="s">
        <v>46</v>
      </c>
      <c r="C31" s="20" t="e">
        <f>ROUND(C30/H17,3)</f>
        <v>#N/A</v>
      </c>
      <c r="D31" s="320"/>
      <c r="E31" s="320"/>
      <c r="F31" s="320"/>
      <c r="G31" s="319"/>
      <c r="H31" s="319"/>
      <c r="I31" s="320"/>
      <c r="J31" s="6"/>
      <c r="K31" s="6"/>
      <c r="S31" s="29"/>
      <c r="T31" s="18"/>
      <c r="U31" s="18"/>
    </row>
    <row r="32" spans="2:23" ht="15.5" hidden="1">
      <c r="C32" s="20"/>
      <c r="D32" s="319"/>
      <c r="E32" s="319"/>
      <c r="F32" s="319"/>
      <c r="G32" s="330"/>
      <c r="H32" s="330"/>
      <c r="I32" s="319"/>
      <c r="J32" s="6"/>
      <c r="K32" s="6"/>
      <c r="S32" s="29"/>
      <c r="T32" s="18"/>
      <c r="U32" s="18"/>
    </row>
    <row r="33" spans="2:21" hidden="1">
      <c r="B33" s="1" t="s">
        <v>48</v>
      </c>
      <c r="C33" s="85" t="e">
        <f>C35-C34</f>
        <v>#N/A</v>
      </c>
      <c r="D33" s="329"/>
      <c r="E33" s="329"/>
      <c r="F33" s="329"/>
      <c r="I33" s="329"/>
      <c r="J33" s="6"/>
      <c r="K33" s="6"/>
      <c r="S33" s="29"/>
      <c r="T33" s="18"/>
      <c r="U33" s="18"/>
    </row>
    <row r="34" spans="2:21" hidden="1">
      <c r="B34" s="1" t="s">
        <v>21</v>
      </c>
      <c r="C34" s="85" t="e">
        <f>ROUND(C35*C22/(1+C22),2)</f>
        <v>#N/A</v>
      </c>
      <c r="D34" s="319"/>
      <c r="E34" s="319"/>
      <c r="F34" s="319"/>
      <c r="G34" s="23"/>
      <c r="H34" s="23"/>
      <c r="I34" s="319"/>
      <c r="J34" s="6"/>
      <c r="K34" s="6"/>
      <c r="S34" s="29"/>
      <c r="T34" s="18"/>
      <c r="U34" s="89"/>
    </row>
    <row r="35" spans="2:21" ht="15.5" hidden="1">
      <c r="B35" s="1" t="s">
        <v>49</v>
      </c>
      <c r="C35" s="85" t="e">
        <f>IF(MOD(H19*1000,50)&gt;24.99,CEILING(H19,0.05),FLOOR(H19,0.05))</f>
        <v>#N/A</v>
      </c>
      <c r="D35" s="330"/>
      <c r="E35" s="330"/>
      <c r="F35" s="330"/>
      <c r="G35" s="30"/>
      <c r="H35" s="30"/>
      <c r="I35" s="330"/>
      <c r="J35" s="487"/>
      <c r="K35" s="487"/>
      <c r="S35" s="29"/>
      <c r="T35" s="18"/>
      <c r="U35" s="90"/>
    </row>
    <row r="36" spans="2:21" hidden="1">
      <c r="G36" s="20"/>
      <c r="H36" s="20"/>
      <c r="J36" s="487"/>
      <c r="K36" s="487"/>
      <c r="S36" s="29"/>
      <c r="T36" s="18"/>
      <c r="U36" s="90"/>
    </row>
    <row r="37" spans="2:21" hidden="1">
      <c r="B37" s="9" t="s">
        <v>47</v>
      </c>
      <c r="C37" s="88" t="e">
        <f>ROUND(((C33-H16-H14-H15)*C11)/H9-1,4)</f>
        <v>#N/A</v>
      </c>
      <c r="D37" s="23"/>
      <c r="E37" s="23"/>
      <c r="F37" s="23"/>
      <c r="G37" s="20"/>
      <c r="H37" s="20"/>
      <c r="I37" s="23"/>
      <c r="J37" s="487"/>
      <c r="K37" s="487"/>
    </row>
    <row r="38" spans="2:21" ht="15" thickBot="1">
      <c r="D38" s="30"/>
      <c r="E38" s="30"/>
      <c r="F38" s="30"/>
      <c r="G38" s="527" t="s">
        <v>496</v>
      </c>
      <c r="H38" s="528"/>
      <c r="I38" s="30"/>
      <c r="J38" s="88"/>
      <c r="K38" s="88"/>
    </row>
    <row r="39" spans="2:21">
      <c r="D39" s="20"/>
      <c r="E39" s="20"/>
      <c r="F39" s="20"/>
      <c r="G39" s="530" t="s">
        <v>497</v>
      </c>
      <c r="H39" s="531" t="e">
        <f>H17</f>
        <v>#N/A</v>
      </c>
      <c r="I39" s="20"/>
      <c r="J39" s="6"/>
      <c r="K39" s="6"/>
    </row>
    <row r="40" spans="2:21">
      <c r="D40" s="20"/>
      <c r="E40" s="20"/>
      <c r="F40" s="20"/>
      <c r="G40" s="530"/>
      <c r="H40" s="532"/>
      <c r="I40" s="20"/>
      <c r="J40" s="6"/>
      <c r="K40" s="6"/>
    </row>
    <row r="41" spans="2:21">
      <c r="D41" s="85"/>
      <c r="E41" s="85"/>
      <c r="F41" s="85"/>
      <c r="G41" s="530" t="s">
        <v>498</v>
      </c>
      <c r="H41" s="531" t="e">
        <f>SUM(H39*10%)</f>
        <v>#N/A</v>
      </c>
      <c r="I41" s="85"/>
      <c r="J41" s="6"/>
      <c r="K41" s="6"/>
    </row>
    <row r="42" spans="2:21">
      <c r="D42" s="85"/>
      <c r="E42" s="85"/>
      <c r="F42" s="85"/>
      <c r="G42" s="530" t="s">
        <v>500</v>
      </c>
      <c r="H42" s="531" t="e">
        <f>SUM(H39-H41)</f>
        <v>#N/A</v>
      </c>
      <c r="I42" s="85"/>
      <c r="J42" s="6"/>
      <c r="K42" s="6"/>
    </row>
    <row r="43" spans="2:21">
      <c r="D43" s="85"/>
      <c r="E43" s="85"/>
      <c r="F43" s="85"/>
      <c r="G43" s="530" t="s">
        <v>21</v>
      </c>
      <c r="H43" s="531" t="e">
        <f>SUM(H42*C22)</f>
        <v>#N/A</v>
      </c>
      <c r="I43" s="85"/>
      <c r="J43" s="6"/>
      <c r="K43" s="6"/>
    </row>
    <row r="44" spans="2:21" ht="15" thickBot="1">
      <c r="G44" s="530" t="s">
        <v>499</v>
      </c>
      <c r="H44" s="531" t="e">
        <f>C23</f>
        <v>#DIV/0!</v>
      </c>
      <c r="J44" s="6"/>
      <c r="K44" s="6"/>
    </row>
    <row r="45" spans="2:21" ht="15" thickBot="1">
      <c r="D45" s="88"/>
      <c r="E45" s="88"/>
      <c r="F45" s="88"/>
      <c r="G45" s="527" t="s">
        <v>501</v>
      </c>
      <c r="H45" s="529" t="e">
        <f>SUM(H42+H43+H44)</f>
        <v>#N/A</v>
      </c>
      <c r="I45" s="88"/>
      <c r="J45" s="6"/>
      <c r="K45" s="6"/>
    </row>
    <row r="46" spans="2:21">
      <c r="G46" s="533" t="s">
        <v>502</v>
      </c>
      <c r="H46" s="1"/>
      <c r="J46" s="6"/>
      <c r="K46" s="6"/>
    </row>
    <row r="47" spans="2:21">
      <c r="G47" s="319"/>
      <c r="H47" s="319"/>
      <c r="J47" s="6"/>
      <c r="K47" s="6"/>
    </row>
    <row r="48" spans="2:21">
      <c r="G48" s="319"/>
      <c r="H48" s="319"/>
      <c r="J48" s="6"/>
      <c r="K48" s="6"/>
    </row>
    <row r="49" spans="7:11">
      <c r="G49" s="319"/>
      <c r="H49" s="319"/>
      <c r="J49" s="6"/>
      <c r="K49" s="6"/>
    </row>
    <row r="50" spans="7:11">
      <c r="G50" s="319"/>
      <c r="H50" s="319"/>
      <c r="J50" s="6"/>
      <c r="K50" s="6"/>
    </row>
    <row r="51" spans="7:11">
      <c r="G51" s="319"/>
      <c r="H51" s="319"/>
      <c r="J51" s="6"/>
      <c r="K51" s="6"/>
    </row>
    <row r="52" spans="7:11">
      <c r="G52" s="319"/>
      <c r="H52" s="319"/>
      <c r="J52" s="6"/>
      <c r="K52" s="6"/>
    </row>
    <row r="53" spans="7:11">
      <c r="G53" s="319"/>
      <c r="H53" s="319"/>
      <c r="J53" s="6"/>
      <c r="K53" s="6"/>
    </row>
    <row r="54" spans="7:11">
      <c r="G54" s="319"/>
      <c r="H54" s="319"/>
    </row>
    <row r="55" spans="7:11">
      <c r="G55" s="319"/>
      <c r="H55" s="319"/>
    </row>
    <row r="56" spans="7:11">
      <c r="G56" s="319"/>
      <c r="H56" s="319"/>
    </row>
    <row r="57" spans="7:11">
      <c r="G57" s="319"/>
      <c r="H57" s="319"/>
    </row>
  </sheetData>
  <sheetProtection formatColumns="0" autoFilter="0" pivotTables="0"/>
  <protectedRanges>
    <protectedRange sqref="C17 B4:B5 C7:C13" name="Range1_1"/>
    <protectedRange password="CCE3" sqref="D18" name="Range3"/>
    <protectedRange password="CCE3" sqref="B23" name="Range3_2"/>
  </protectedRanges>
  <mergeCells count="2">
    <mergeCell ref="D13:E13"/>
    <mergeCell ref="D18:E18"/>
  </mergeCells>
  <conditionalFormatting sqref="E14">
    <cfRule type="cellIs" dxfId="47" priority="4" operator="lessThan">
      <formula>0</formula>
    </cfRule>
    <cfRule type="cellIs" dxfId="46" priority="5" operator="greaterThan">
      <formula>0</formula>
    </cfRule>
    <cfRule type="cellIs" dxfId="45" priority="6" operator="greaterThan">
      <formula>0</formula>
    </cfRule>
  </conditionalFormatting>
  <conditionalFormatting sqref="E19">
    <cfRule type="cellIs" dxfId="44" priority="1" operator="lessThan">
      <formula>0</formula>
    </cfRule>
    <cfRule type="cellIs" dxfId="43" priority="2" operator="greaterThan">
      <formula>0</formula>
    </cfRule>
    <cfRule type="cellIs" dxfId="42" priority="3" operator="greaterThan">
      <formula>0</formula>
    </cfRule>
  </conditionalFormatting>
  <hyperlinks>
    <hyperlink ref="G27" r:id="rId1" display="https://www.doingbusinesswithlcbo.com/content/dbwl/en/basepage/home/new-supplier-agent/Pricing/HelpfulToolsandLinks.html" xr:uid="{F230F74A-FE79-4DB4-9997-D1B8D66A60F7}"/>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3">
        <x14:dataValidation type="list" showInputMessage="1" showErrorMessage="1" prompt="Pick from drop-down list_x000a_" xr:uid="{D39096D7-772B-4ED8-B305-C3DBB14EA354}">
          <x14:formula1>
            <xm:f>Rates!$A$94:$A$95</xm:f>
          </x14:formula1>
          <xm:sqref>C5 G5</xm:sqref>
        </x14:dataValidation>
        <x14:dataValidation type="list" allowBlank="1" showInputMessage="1" showErrorMessage="1" xr:uid="{2BC59C36-3A6C-4C57-8B61-73626F2BB00A}">
          <x14:formula1>
            <xm:f>Rates!$A$66:$A$71</xm:f>
          </x14:formula1>
          <xm:sqref>C4 G4:H4</xm:sqref>
        </x14:dataValidation>
        <x14:dataValidation type="list" showInputMessage="1" showErrorMessage="1" prompt="Pick from drop-down list_x000a_" xr:uid="{E3867AD5-6D0D-4C50-B574-E558FEC2EFFF}">
          <x14:formula1>
            <xm:f>Rates!$B$142:$B$147</xm:f>
          </x14:formula1>
          <xm:sqref>C6 G6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C60FB-C40D-4758-8C1C-44FBDEA8AC3E}">
  <sheetPr codeName="Sheet6">
    <tabColor theme="6" tint="-0.249977111117893"/>
  </sheetPr>
  <dimension ref="B1:V89"/>
  <sheetViews>
    <sheetView zoomScale="115" zoomScaleNormal="115" workbookViewId="0">
      <selection activeCell="B1" sqref="B1"/>
    </sheetView>
  </sheetViews>
  <sheetFormatPr defaultColWidth="9.84375" defaultRowHeight="14.5"/>
  <cols>
    <col min="1" max="1" width="2.765625" style="1" customWidth="1"/>
    <col min="2" max="2" width="24.07421875" style="1" customWidth="1"/>
    <col min="3" max="3" width="27" style="1" customWidth="1"/>
    <col min="4" max="4" width="9.84375" style="1" customWidth="1"/>
    <col min="5" max="5" width="10.3046875" style="1" customWidth="1"/>
    <col min="6" max="6" width="1.765625" style="1" customWidth="1"/>
    <col min="7" max="7" width="23" style="1" bestFit="1" customWidth="1"/>
    <col min="8" max="8" width="20.765625" style="1" customWidth="1"/>
    <col min="9" max="9" width="2.765625" style="1" customWidth="1"/>
    <col min="10" max="10" width="17.69140625" style="1" bestFit="1" customWidth="1"/>
    <col min="11" max="11" width="12" style="1" customWidth="1"/>
    <col min="12" max="12" width="9.23046875" style="1" customWidth="1"/>
    <col min="13" max="13" width="7.53515625" style="1" bestFit="1" customWidth="1"/>
    <col min="14" max="14" width="10.84375" style="1" customWidth="1"/>
    <col min="15" max="15" width="12.3046875" style="1" customWidth="1"/>
    <col min="16" max="16" width="13.23046875" style="1" customWidth="1"/>
    <col min="17" max="17" width="14.23046875" style="1" customWidth="1"/>
    <col min="18" max="18" width="6.4609375" style="1" bestFit="1" customWidth="1"/>
    <col min="19" max="16384" width="9.84375" style="1"/>
  </cols>
  <sheetData>
    <row r="1" spans="2:22" ht="18.5">
      <c r="B1" s="170" t="s">
        <v>488</v>
      </c>
      <c r="C1" s="3"/>
      <c r="D1" s="3"/>
      <c r="E1" s="3"/>
      <c r="F1" s="3"/>
      <c r="S1" s="6"/>
    </row>
    <row r="2" spans="2:22" ht="18.5">
      <c r="B2" s="170"/>
      <c r="C2" s="3"/>
      <c r="D2" s="3"/>
      <c r="E2" s="3"/>
      <c r="F2" s="3"/>
      <c r="S2" s="6"/>
    </row>
    <row r="3" spans="2:22" ht="15" thickBot="1">
      <c r="B3" s="59" t="s">
        <v>0</v>
      </c>
      <c r="C3" s="6"/>
      <c r="D3" s="3"/>
      <c r="E3" s="3"/>
      <c r="F3" s="6"/>
      <c r="I3" s="2"/>
      <c r="J3" s="39"/>
    </row>
    <row r="4" spans="2:22" ht="16" thickBot="1">
      <c r="B4" s="219" t="s">
        <v>61</v>
      </c>
      <c r="C4" s="400"/>
      <c r="D4" s="3"/>
      <c r="E4" s="3"/>
      <c r="F4" s="6"/>
      <c r="G4" s="65" t="s">
        <v>55</v>
      </c>
      <c r="H4" s="99"/>
      <c r="J4" s="285" t="s">
        <v>283</v>
      </c>
      <c r="K4" s="25"/>
      <c r="L4" s="286"/>
      <c r="M4" s="25"/>
      <c r="N4" s="25"/>
      <c r="O4" s="25"/>
      <c r="P4" s="115"/>
    </row>
    <row r="5" spans="2:22" ht="15" thickBot="1">
      <c r="B5" s="33" t="s">
        <v>64</v>
      </c>
      <c r="C5" s="398"/>
      <c r="D5" s="3"/>
      <c r="E5" s="3"/>
      <c r="F5" s="6"/>
      <c r="G5" s="40" t="s">
        <v>28</v>
      </c>
      <c r="H5" s="66">
        <f>C7*C6</f>
        <v>0</v>
      </c>
      <c r="J5" s="293"/>
      <c r="K5" s="294"/>
      <c r="L5" s="294"/>
      <c r="M5" s="294"/>
      <c r="N5" s="294"/>
      <c r="O5" s="294"/>
      <c r="P5" s="295"/>
    </row>
    <row r="6" spans="2:22" ht="15" thickBot="1">
      <c r="B6" s="33" t="s">
        <v>448</v>
      </c>
      <c r="C6" s="401"/>
      <c r="D6" s="3"/>
      <c r="E6" s="3"/>
      <c r="F6" s="6"/>
      <c r="G6" s="43" t="s">
        <v>30</v>
      </c>
      <c r="H6" s="283">
        <f>ROUND(+C9*C10*C22,4)</f>
        <v>0</v>
      </c>
      <c r="J6" s="287"/>
      <c r="K6" s="288"/>
      <c r="L6" s="288"/>
      <c r="M6" s="288"/>
      <c r="N6" s="288"/>
      <c r="O6" s="288"/>
      <c r="P6" s="289"/>
    </row>
    <row r="7" spans="2:22" ht="15" thickBot="1">
      <c r="B7" s="215" t="s">
        <v>14</v>
      </c>
      <c r="C7" s="402"/>
      <c r="D7" s="3"/>
      <c r="E7" s="3"/>
      <c r="F7" s="6"/>
      <c r="G7" s="43" t="s">
        <v>29</v>
      </c>
      <c r="H7" s="66">
        <f>ROUND(+C9*C10*C23,4)</f>
        <v>0</v>
      </c>
      <c r="J7" s="287"/>
      <c r="K7" s="288"/>
      <c r="L7" s="288"/>
      <c r="M7" s="288"/>
      <c r="N7" s="288"/>
      <c r="O7" s="288"/>
      <c r="P7" s="289"/>
      <c r="U7" s="6"/>
      <c r="V7" s="6"/>
    </row>
    <row r="8" spans="2:22" ht="15" thickBot="1">
      <c r="B8" s="217" t="s">
        <v>16</v>
      </c>
      <c r="C8" s="401"/>
      <c r="D8" s="3"/>
      <c r="E8" s="3"/>
      <c r="F8" s="6"/>
      <c r="G8" s="54" t="s">
        <v>71</v>
      </c>
      <c r="H8" s="66">
        <f>C8</f>
        <v>0</v>
      </c>
      <c r="J8" s="287"/>
      <c r="K8" s="288"/>
      <c r="L8" s="288"/>
      <c r="M8" s="288"/>
      <c r="N8" s="288"/>
      <c r="O8" s="288"/>
      <c r="P8" s="289"/>
      <c r="U8" s="6"/>
    </row>
    <row r="9" spans="2:22" ht="15" thickBot="1">
      <c r="B9" s="216" t="s">
        <v>18</v>
      </c>
      <c r="C9" s="403"/>
      <c r="D9" s="3"/>
      <c r="E9" s="3"/>
      <c r="F9" s="6"/>
      <c r="G9" s="43" t="s">
        <v>31</v>
      </c>
      <c r="H9" s="154">
        <f>SUM(H5:H8)</f>
        <v>0</v>
      </c>
      <c r="J9" s="287"/>
      <c r="K9" s="288"/>
      <c r="L9" s="288"/>
      <c r="M9" s="288"/>
      <c r="N9" s="288"/>
      <c r="O9" s="288"/>
      <c r="P9" s="289"/>
      <c r="U9" s="6"/>
    </row>
    <row r="10" spans="2:22" ht="15" thickBot="1">
      <c r="B10" s="215" t="s">
        <v>20</v>
      </c>
      <c r="C10" s="404"/>
      <c r="D10" s="3"/>
      <c r="E10" s="3"/>
      <c r="F10" s="6"/>
      <c r="G10" s="43" t="s">
        <v>72</v>
      </c>
      <c r="H10" s="66">
        <f>ROUND(+C15*C9*C10,4)</f>
        <v>0</v>
      </c>
      <c r="J10" s="287"/>
      <c r="K10" s="288"/>
      <c r="L10" s="288"/>
      <c r="M10" s="288"/>
      <c r="N10" s="288"/>
      <c r="O10" s="288"/>
      <c r="P10" s="289"/>
    </row>
    <row r="11" spans="2:22" ht="15" thickBot="1">
      <c r="B11" s="215" t="s">
        <v>22</v>
      </c>
      <c r="C11" s="404"/>
      <c r="D11" s="3"/>
      <c r="E11" s="3"/>
      <c r="F11" s="6"/>
      <c r="G11" s="43" t="s">
        <v>73</v>
      </c>
      <c r="H11" s="66">
        <f>ROUND(+C16*C9*C10,4)</f>
        <v>0</v>
      </c>
      <c r="J11" s="287"/>
      <c r="K11" s="288"/>
      <c r="L11" s="288"/>
      <c r="M11" s="288"/>
      <c r="N11" s="288"/>
      <c r="O11" s="288"/>
      <c r="P11" s="289"/>
    </row>
    <row r="12" spans="2:22" ht="15" thickBot="1">
      <c r="B12" s="218" t="s">
        <v>24</v>
      </c>
      <c r="C12" s="405"/>
      <c r="D12" s="574" t="s">
        <v>289</v>
      </c>
      <c r="E12" s="575"/>
      <c r="F12" s="6"/>
      <c r="G12" s="43" t="s">
        <v>57</v>
      </c>
      <c r="H12" s="155" t="e">
        <f>ROUND((C9*C10)*C17,4)</f>
        <v>#N/A</v>
      </c>
      <c r="J12" s="287"/>
      <c r="K12" s="288"/>
      <c r="L12" s="288"/>
      <c r="M12" s="288"/>
      <c r="N12" s="288"/>
      <c r="O12" s="288"/>
      <c r="P12" s="289"/>
    </row>
    <row r="13" spans="2:22" ht="15" thickBot="1">
      <c r="B13" s="344" t="s">
        <v>26</v>
      </c>
      <c r="C13" s="345" t="e">
        <f>H25</f>
        <v>#N/A</v>
      </c>
      <c r="D13" s="434" t="e">
        <f>H20+H24</f>
        <v>#N/A</v>
      </c>
      <c r="E13" s="315" t="e">
        <f>C13-D13</f>
        <v>#N/A</v>
      </c>
      <c r="F13" s="6"/>
      <c r="G13" s="43" t="s">
        <v>34</v>
      </c>
      <c r="H13" s="66" t="e">
        <f>H9+H10+H11+H12</f>
        <v>#N/A</v>
      </c>
      <c r="I13" s="147"/>
      <c r="J13" s="287"/>
      <c r="K13" s="288"/>
      <c r="L13" s="288"/>
      <c r="M13" s="288"/>
      <c r="N13" s="288"/>
      <c r="O13" s="288"/>
      <c r="P13" s="289"/>
    </row>
    <row r="14" spans="2:22" ht="15" thickBot="1">
      <c r="B14" s="148"/>
      <c r="C14" s="174"/>
      <c r="D14" s="3"/>
      <c r="E14" s="3"/>
      <c r="F14" s="6"/>
      <c r="G14" s="27"/>
      <c r="H14" s="66"/>
      <c r="I14" s="147"/>
      <c r="J14" s="287"/>
      <c r="K14" s="288"/>
      <c r="L14" s="288"/>
      <c r="M14" s="288"/>
      <c r="N14" s="288"/>
      <c r="O14" s="288"/>
      <c r="P14" s="289"/>
    </row>
    <row r="15" spans="2:22">
      <c r="B15" s="144" t="s">
        <v>63</v>
      </c>
      <c r="C15" s="352">
        <f>Rates!C3</f>
        <v>0.74109999999999998</v>
      </c>
      <c r="D15" s="346"/>
      <c r="E15" s="346"/>
      <c r="F15" s="319"/>
      <c r="G15" s="43" t="s">
        <v>35</v>
      </c>
      <c r="H15" s="68" t="e">
        <f>H13/C10</f>
        <v>#N/A</v>
      </c>
      <c r="J15" s="287"/>
      <c r="K15" s="288"/>
      <c r="L15" s="288"/>
      <c r="M15" s="288"/>
      <c r="N15" s="288"/>
      <c r="O15" s="288"/>
      <c r="P15" s="289"/>
    </row>
    <row r="16" spans="2:22">
      <c r="B16" s="145" t="s">
        <v>66</v>
      </c>
      <c r="C16" s="363">
        <f>Rates!C4</f>
        <v>0.2006</v>
      </c>
      <c r="D16" s="346"/>
      <c r="E16" s="346"/>
      <c r="F16" s="337"/>
      <c r="G16" s="43" t="s">
        <v>36</v>
      </c>
      <c r="H16" s="68">
        <f>ROUND(+C18*C9,4)</f>
        <v>0</v>
      </c>
      <c r="J16" s="287"/>
      <c r="K16" s="288"/>
      <c r="L16" s="288"/>
      <c r="M16" s="288"/>
      <c r="N16" s="288"/>
      <c r="O16" s="288"/>
      <c r="P16" s="289"/>
    </row>
    <row r="17" spans="2:18" ht="15" thickBot="1">
      <c r="B17" s="145" t="s">
        <v>67</v>
      </c>
      <c r="C17" s="365" t="e">
        <f>VLOOKUP(C4,Rates!A11:B12,2,FALSE)</f>
        <v>#N/A</v>
      </c>
      <c r="D17" s="347"/>
      <c r="E17" s="347"/>
      <c r="F17" s="338"/>
      <c r="G17" s="43" t="s">
        <v>19</v>
      </c>
      <c r="H17" s="271">
        <f>ROUND(+C19*C11,4)</f>
        <v>0</v>
      </c>
      <c r="J17" s="290"/>
      <c r="K17" s="291"/>
      <c r="L17" s="291"/>
      <c r="M17" s="291"/>
      <c r="N17" s="291"/>
      <c r="O17" s="291"/>
      <c r="P17" s="292"/>
      <c r="R17" s="10"/>
    </row>
    <row r="18" spans="2:18">
      <c r="B18" s="145" t="s">
        <v>68</v>
      </c>
      <c r="C18" s="363">
        <f>Rates!B7</f>
        <v>0.17599999999999999</v>
      </c>
      <c r="D18" s="348"/>
      <c r="E18" s="348"/>
      <c r="F18" s="337"/>
      <c r="G18" s="43" t="s">
        <v>38</v>
      </c>
      <c r="H18" s="68" t="e">
        <f>ROUND(SUM(H15:H17),4)</f>
        <v>#N/A</v>
      </c>
      <c r="Q18" s="6"/>
      <c r="R18" s="10"/>
    </row>
    <row r="19" spans="2:18">
      <c r="B19" s="145" t="s">
        <v>19</v>
      </c>
      <c r="C19" s="363">
        <f>Rates!B77</f>
        <v>8.9300000000000004E-2</v>
      </c>
      <c r="D19" s="346"/>
      <c r="E19" s="346"/>
      <c r="F19" s="337"/>
      <c r="G19" s="43" t="s">
        <v>21</v>
      </c>
      <c r="H19" s="272" t="e">
        <f>ROUND(+H18*C21,4)</f>
        <v>#N/A</v>
      </c>
    </row>
    <row r="20" spans="2:18">
      <c r="B20" s="43" t="s">
        <v>23</v>
      </c>
      <c r="C20" s="365" t="e">
        <f>VLOOKUP(C5,Rates!A82:B86,2,FALSE)</f>
        <v>#N/A</v>
      </c>
      <c r="D20" s="349"/>
      <c r="E20" s="349"/>
      <c r="F20" s="339"/>
      <c r="G20" s="43" t="s">
        <v>39</v>
      </c>
      <c r="H20" s="160" t="e">
        <f>ROUND(SUM(H18:H19),4)</f>
        <v>#N/A</v>
      </c>
      <c r="Q20" s="6"/>
    </row>
    <row r="21" spans="2:18">
      <c r="B21" s="145" t="s">
        <v>21</v>
      </c>
      <c r="C21" s="367">
        <f>Rates!B79</f>
        <v>0.13</v>
      </c>
      <c r="D21" s="350"/>
      <c r="E21" s="350"/>
      <c r="F21" s="337"/>
      <c r="G21" s="331" t="s">
        <v>288</v>
      </c>
      <c r="H21" s="160" t="e">
        <f>H23-H22</f>
        <v>#N/A</v>
      </c>
      <c r="Q21" s="6"/>
    </row>
    <row r="22" spans="2:18">
      <c r="B22" s="145" t="s">
        <v>69</v>
      </c>
      <c r="C22" s="364">
        <f>Rates!B39/100</f>
        <v>0.36950000000000005</v>
      </c>
      <c r="D22" s="347"/>
      <c r="E22" s="347"/>
      <c r="F22" s="337"/>
      <c r="G22" s="331" t="s">
        <v>21</v>
      </c>
      <c r="H22" s="272" t="e">
        <f>ROUND(+H23*(C21*100/(100+C21*100)),2)</f>
        <v>#N/A</v>
      </c>
      <c r="Q22" s="6"/>
    </row>
    <row r="23" spans="2:18" ht="15" thickBot="1">
      <c r="B23" s="146" t="s">
        <v>70</v>
      </c>
      <c r="C23" s="366">
        <f>Rates!B32</f>
        <v>0</v>
      </c>
      <c r="D23" s="351"/>
      <c r="E23" s="351"/>
      <c r="F23" s="337"/>
      <c r="G23" s="331" t="s">
        <v>49</v>
      </c>
      <c r="H23" s="160" t="e">
        <f>MAX(CEILING(H20,0.05))</f>
        <v>#N/A</v>
      </c>
      <c r="Q23" s="6"/>
      <c r="R23" s="8"/>
    </row>
    <row r="24" spans="2:18" ht="15" thickBot="1">
      <c r="F24" s="337"/>
      <c r="G24" s="43" t="s">
        <v>42</v>
      </c>
      <c r="H24" s="160" t="e">
        <f>C11*C20</f>
        <v>#N/A</v>
      </c>
    </row>
    <row r="25" spans="2:18" ht="16" thickBot="1">
      <c r="F25" s="337"/>
      <c r="G25" s="57" t="s">
        <v>75</v>
      </c>
      <c r="H25" s="58" t="e">
        <f>SUM(H23:H24)</f>
        <v>#N/A</v>
      </c>
    </row>
    <row r="26" spans="2:18">
      <c r="F26" s="340"/>
    </row>
    <row r="27" spans="2:18">
      <c r="F27" s="340"/>
      <c r="G27" s="1" t="s">
        <v>4</v>
      </c>
    </row>
    <row r="28" spans="2:18">
      <c r="F28" s="341"/>
      <c r="G28" s="223" t="s">
        <v>8</v>
      </c>
    </row>
    <row r="29" spans="2:18" ht="15" thickBot="1">
      <c r="F29" s="340"/>
    </row>
    <row r="30" spans="2:18" ht="15" thickBot="1">
      <c r="F30" s="342"/>
      <c r="G30" s="527" t="s">
        <v>496</v>
      </c>
      <c r="H30" s="528"/>
    </row>
    <row r="31" spans="2:18">
      <c r="F31" s="343"/>
      <c r="G31" s="530" t="s">
        <v>497</v>
      </c>
      <c r="H31" s="534" t="e">
        <f>H18</f>
        <v>#N/A</v>
      </c>
    </row>
    <row r="32" spans="2:18">
      <c r="F32" s="343"/>
      <c r="G32" s="530"/>
      <c r="H32" s="535"/>
    </row>
    <row r="33" spans="2:17">
      <c r="F33" s="343"/>
      <c r="G33" s="530" t="s">
        <v>498</v>
      </c>
      <c r="H33" s="534" t="e">
        <f>SUM(H31*10%)</f>
        <v>#N/A</v>
      </c>
    </row>
    <row r="34" spans="2:17">
      <c r="F34" s="342"/>
      <c r="G34" s="530" t="s">
        <v>500</v>
      </c>
      <c r="H34" s="534" t="e">
        <f>SUM(H31-H33)</f>
        <v>#N/A</v>
      </c>
    </row>
    <row r="35" spans="2:17">
      <c r="F35" s="343"/>
      <c r="G35" s="530" t="s">
        <v>21</v>
      </c>
      <c r="H35" s="534" t="e">
        <f>SUM(H34*C21)</f>
        <v>#N/A</v>
      </c>
    </row>
    <row r="36" spans="2:17" ht="15" thickBot="1">
      <c r="F36" s="343"/>
      <c r="G36" s="530" t="s">
        <v>499</v>
      </c>
      <c r="H36" s="534" t="e">
        <f>C20</f>
        <v>#N/A</v>
      </c>
      <c r="Q36" s="117"/>
    </row>
    <row r="37" spans="2:17" ht="15" thickBot="1">
      <c r="F37" s="343"/>
      <c r="G37" s="527" t="s">
        <v>501</v>
      </c>
      <c r="H37" s="536" t="e">
        <f>SUM(H34+H35+H36)</f>
        <v>#N/A</v>
      </c>
    </row>
    <row r="38" spans="2:17">
      <c r="F38" s="284"/>
      <c r="G38" s="533" t="s">
        <v>502</v>
      </c>
    </row>
    <row r="39" spans="2:17" ht="15.5">
      <c r="F39" s="330"/>
    </row>
    <row r="41" spans="2:17">
      <c r="B41" s="5"/>
      <c r="C41" s="118"/>
      <c r="D41" s="118"/>
      <c r="E41" s="118"/>
      <c r="F41" s="118"/>
      <c r="P41" s="4"/>
    </row>
    <row r="46" spans="2:17">
      <c r="C46" s="119"/>
      <c r="D46" s="119"/>
      <c r="E46" s="119"/>
      <c r="F46" s="119"/>
      <c r="P46" s="8"/>
    </row>
    <row r="47" spans="2:17">
      <c r="P47" s="8"/>
    </row>
    <row r="49" spans="2:18">
      <c r="C49" s="120"/>
      <c r="D49" s="120"/>
      <c r="E49" s="120"/>
      <c r="F49" s="120"/>
      <c r="P49" s="11"/>
    </row>
    <row r="50" spans="2:18">
      <c r="B50" s="121"/>
      <c r="C50" s="121"/>
      <c r="D50" s="121"/>
      <c r="E50" s="121"/>
      <c r="F50" s="121"/>
      <c r="I50" s="8"/>
    </row>
    <row r="51" spans="2:18">
      <c r="B51" s="120"/>
      <c r="C51" s="120"/>
      <c r="D51" s="120"/>
      <c r="E51" s="120"/>
      <c r="F51" s="120"/>
      <c r="P51" s="8"/>
    </row>
    <row r="53" spans="2:18">
      <c r="P53" s="8"/>
    </row>
    <row r="54" spans="2:18">
      <c r="B54" s="8"/>
      <c r="C54" s="8"/>
      <c r="D54" s="8"/>
      <c r="E54" s="8"/>
      <c r="F54" s="8"/>
      <c r="P54" s="8"/>
    </row>
    <row r="55" spans="2:18">
      <c r="B55" s="8"/>
      <c r="C55" s="8"/>
      <c r="D55" s="8"/>
      <c r="E55" s="8"/>
      <c r="F55" s="8"/>
      <c r="P55" s="11"/>
    </row>
    <row r="56" spans="2:18">
      <c r="B56" s="8"/>
      <c r="C56" s="8"/>
      <c r="D56" s="8"/>
      <c r="E56" s="8"/>
      <c r="F56" s="8"/>
      <c r="I56" s="8"/>
      <c r="P56" s="8"/>
    </row>
    <row r="57" spans="2:18">
      <c r="B57" s="8"/>
      <c r="C57" s="8"/>
      <c r="D57" s="8"/>
      <c r="E57" s="8"/>
      <c r="F57" s="8"/>
      <c r="P57" s="8"/>
    </row>
    <row r="58" spans="2:18">
      <c r="B58" s="8"/>
      <c r="C58" s="8"/>
      <c r="D58" s="8"/>
      <c r="E58" s="8"/>
      <c r="F58" s="8"/>
      <c r="I58" s="11"/>
      <c r="R58" s="11"/>
    </row>
    <row r="59" spans="2:18">
      <c r="B59" s="8"/>
      <c r="C59" s="8"/>
      <c r="D59" s="8"/>
      <c r="E59" s="8"/>
      <c r="F59" s="8"/>
      <c r="P59" s="8"/>
    </row>
    <row r="60" spans="2:18">
      <c r="B60" s="8"/>
      <c r="C60" s="8"/>
      <c r="D60" s="8"/>
      <c r="E60" s="8"/>
      <c r="F60" s="8"/>
      <c r="P60" s="8"/>
      <c r="Q60" s="122"/>
      <c r="R60" s="123"/>
    </row>
    <row r="61" spans="2:18">
      <c r="B61" s="8"/>
      <c r="C61" s="8"/>
      <c r="D61" s="8"/>
      <c r="E61" s="8"/>
      <c r="F61" s="8"/>
      <c r="P61" s="11"/>
    </row>
    <row r="62" spans="2:18">
      <c r="B62" s="8"/>
      <c r="C62" s="8"/>
      <c r="D62" s="8"/>
      <c r="E62" s="8"/>
      <c r="F62" s="8"/>
      <c r="I62" s="8"/>
      <c r="P62" s="8"/>
      <c r="Q62" s="124"/>
      <c r="R62" s="8"/>
    </row>
    <row r="63" spans="2:18">
      <c r="B63" s="8"/>
      <c r="C63" s="8"/>
      <c r="D63" s="8"/>
      <c r="E63" s="8"/>
      <c r="F63" s="8"/>
      <c r="P63" s="11"/>
      <c r="R63" s="8"/>
    </row>
    <row r="64" spans="2:18">
      <c r="B64" s="8"/>
      <c r="C64" s="8"/>
      <c r="D64" s="8"/>
      <c r="E64" s="8"/>
      <c r="F64" s="8"/>
      <c r="I64" s="11"/>
      <c r="P64" s="8"/>
      <c r="R64" s="11"/>
    </row>
    <row r="65" spans="2:16">
      <c r="B65" s="8"/>
      <c r="C65" s="8"/>
      <c r="D65" s="8"/>
      <c r="E65" s="8"/>
      <c r="F65" s="8"/>
      <c r="P65" s="123"/>
    </row>
    <row r="66" spans="2:16">
      <c r="B66" s="8"/>
      <c r="C66" s="8"/>
      <c r="D66" s="8"/>
      <c r="E66" s="8"/>
      <c r="F66" s="8"/>
      <c r="I66" s="11"/>
      <c r="P66" s="8"/>
    </row>
    <row r="67" spans="2:16">
      <c r="B67" s="8"/>
      <c r="C67" s="8"/>
      <c r="D67" s="8"/>
      <c r="E67" s="8"/>
      <c r="F67" s="8"/>
      <c r="P67" s="11"/>
    </row>
    <row r="68" spans="2:16">
      <c r="B68" s="8"/>
      <c r="C68" s="8"/>
      <c r="D68" s="8"/>
      <c r="E68" s="8"/>
      <c r="F68" s="8"/>
      <c r="P68" s="8"/>
    </row>
    <row r="69" spans="2:16">
      <c r="B69" s="8"/>
      <c r="C69" s="8"/>
      <c r="D69" s="8"/>
      <c r="E69" s="8"/>
      <c r="F69" s="8"/>
      <c r="P69" s="8"/>
    </row>
    <row r="70" spans="2:16">
      <c r="I70" s="11"/>
      <c r="P70" s="8"/>
    </row>
    <row r="71" spans="2:16">
      <c r="P71" s="8"/>
    </row>
    <row r="73" spans="2:16">
      <c r="P73" s="125"/>
    </row>
    <row r="75" spans="2:16">
      <c r="P75" s="9"/>
    </row>
    <row r="76" spans="2:16">
      <c r="I76" s="11"/>
    </row>
    <row r="78" spans="2:16">
      <c r="I78" s="9"/>
    </row>
    <row r="79" spans="2:16">
      <c r="P79" s="9"/>
    </row>
    <row r="82" spans="3:16">
      <c r="I82" s="9"/>
    </row>
    <row r="83" spans="3:16">
      <c r="C83" s="9"/>
      <c r="D83" s="9"/>
      <c r="E83" s="9"/>
      <c r="F83" s="9"/>
    </row>
    <row r="85" spans="3:16">
      <c r="P85" s="9"/>
    </row>
    <row r="88" spans="3:16">
      <c r="I88" s="9"/>
    </row>
    <row r="89" spans="3:16">
      <c r="C89" s="9"/>
      <c r="D89" s="9"/>
      <c r="E89" s="9"/>
      <c r="F89" s="9"/>
    </row>
  </sheetData>
  <sheetProtection formatColumns="0" autoFilter="0" pivotTables="0"/>
  <protectedRanges>
    <protectedRange sqref="C22:E23 C4 C17:E17 C6:C13 C20:E20" name="Range1"/>
    <protectedRange password="CCE3" sqref="B20" name="Range3_1"/>
  </protectedRanges>
  <mergeCells count="1">
    <mergeCell ref="D12:E12"/>
  </mergeCells>
  <conditionalFormatting sqref="E13">
    <cfRule type="cellIs" dxfId="41" priority="1" operator="lessThan">
      <formula>0</formula>
    </cfRule>
    <cfRule type="cellIs" dxfId="40" priority="2" operator="greaterThan">
      <formula>0</formula>
    </cfRule>
    <cfRule type="cellIs" dxfId="39" priority="3" operator="greaterThan">
      <formula>0</formula>
    </cfRule>
  </conditionalFormatting>
  <hyperlinks>
    <hyperlink ref="G28" r:id="rId1" display="https://www.doingbusinesswithlcbo.com/content/dbwl/en/basepage/home/new-supplier-agent/Pricing/HelpfulToolsandLinks.html" xr:uid="{4629B39B-74DE-498E-BC84-F4C824659D3C}"/>
  </hyperlinks>
  <pageMargins left="0.7" right="0.7" top="0.75" bottom="0.75" header="0.3" footer="0.3"/>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C85DDB8-6F75-4729-A238-66C4F988AE79}">
          <x14:formula1>
            <xm:f>Rates!$B$94:$B$95</xm:f>
          </x14:formula1>
          <xm:sqref>C4</xm:sqref>
        </x14:dataValidation>
        <x14:dataValidation type="list" allowBlank="1" showInputMessage="1" showErrorMessage="1" xr:uid="{3CD34596-2F86-460A-B7B2-DF54B9B7B1E0}">
          <x14:formula1>
            <xm:f>Rates!$A$82:$A$86</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208DB-0473-486F-9A5E-E8D92E526868}">
  <sheetPr codeName="Sheet7">
    <tabColor theme="6" tint="-0.249977111117893"/>
  </sheetPr>
  <dimension ref="B1:V64"/>
  <sheetViews>
    <sheetView zoomScale="82" zoomScaleNormal="100" zoomScaleSheetLayoutView="10" workbookViewId="0">
      <selection activeCell="B1" sqref="B1"/>
    </sheetView>
  </sheetViews>
  <sheetFormatPr defaultColWidth="9.765625" defaultRowHeight="14.5"/>
  <cols>
    <col min="1" max="1" width="2.3046875" style="1" customWidth="1"/>
    <col min="2" max="2" width="30.84375" style="1" customWidth="1"/>
    <col min="3" max="3" width="25.23046875" style="6" customWidth="1"/>
    <col min="4" max="4" width="9.69140625" style="6" customWidth="1"/>
    <col min="5" max="5" width="12" style="6" customWidth="1"/>
    <col min="6" max="6" width="1.84375" style="6" customWidth="1"/>
    <col min="7" max="7" width="23" style="6" bestFit="1" customWidth="1"/>
    <col min="8" max="8" width="20.69140625" style="6" customWidth="1"/>
    <col min="9" max="9" width="4.765625" style="6" customWidth="1"/>
    <col min="10" max="10" width="22.84375" style="1" bestFit="1" customWidth="1"/>
    <col min="11" max="11" width="20.69140625" style="1" customWidth="1"/>
    <col min="12" max="12" width="9.69140625" style="1" customWidth="1"/>
    <col min="13" max="13" width="13.53515625" style="1" customWidth="1"/>
    <col min="14" max="14" width="5.23046875" style="36" bestFit="1" customWidth="1"/>
    <col min="15" max="15" width="10.3046875" style="36" customWidth="1"/>
    <col min="16" max="16" width="7.765625" style="36" bestFit="1" customWidth="1"/>
    <col min="17" max="17" width="8.23046875" style="36" bestFit="1" customWidth="1"/>
    <col min="18" max="18" width="14.4609375" style="36" customWidth="1"/>
    <col min="19" max="21" width="9.765625" style="36"/>
    <col min="22" max="16384" width="9.765625" style="1"/>
  </cols>
  <sheetData>
    <row r="1" spans="2:22" ht="18.5">
      <c r="B1" s="170" t="s">
        <v>488</v>
      </c>
      <c r="C1" s="3"/>
      <c r="D1" s="3"/>
      <c r="E1" s="3"/>
      <c r="F1" s="3"/>
      <c r="G1" s="3"/>
      <c r="H1" s="3"/>
      <c r="I1" s="1"/>
      <c r="N1" s="1"/>
      <c r="O1" s="1"/>
      <c r="P1" s="1"/>
      <c r="Q1" s="1"/>
      <c r="R1" s="1"/>
      <c r="S1" s="1"/>
      <c r="T1" s="6"/>
      <c r="U1" s="1"/>
    </row>
    <row r="2" spans="2:22">
      <c r="B2" s="21"/>
      <c r="C2" s="1"/>
      <c r="D2" s="1"/>
      <c r="E2" s="1"/>
      <c r="F2" s="1"/>
      <c r="G2" s="1"/>
      <c r="H2" s="1"/>
      <c r="I2" s="2"/>
      <c r="J2" s="2"/>
      <c r="N2" s="1"/>
      <c r="O2" s="1"/>
      <c r="P2" s="1"/>
      <c r="Q2" s="1"/>
      <c r="R2" s="6"/>
      <c r="S2" s="1"/>
      <c r="T2" s="1"/>
      <c r="U2" s="1"/>
    </row>
    <row r="3" spans="2:22" ht="15" thickBot="1">
      <c r="B3" s="59" t="s">
        <v>0</v>
      </c>
      <c r="C3" s="1"/>
      <c r="D3" s="1"/>
      <c r="E3" s="1"/>
      <c r="F3" s="1"/>
      <c r="I3" s="2"/>
      <c r="J3" s="2"/>
      <c r="N3" s="1"/>
      <c r="O3" s="1"/>
      <c r="P3" s="1"/>
      <c r="Q3" s="1"/>
      <c r="R3" s="6"/>
      <c r="S3" s="1"/>
      <c r="T3" s="1"/>
      <c r="U3" s="1"/>
    </row>
    <row r="4" spans="2:22" ht="21.65" customHeight="1" thickBot="1">
      <c r="B4" s="220" t="s">
        <v>76</v>
      </c>
      <c r="C4" s="406"/>
      <c r="D4" s="1"/>
      <c r="E4" s="1"/>
      <c r="F4" s="1"/>
      <c r="G4" s="562" t="s">
        <v>87</v>
      </c>
      <c r="H4" s="563" t="e">
        <f>(ROUND(H5,2)*C11)-C9</f>
        <v>#N/A</v>
      </c>
      <c r="U4" s="1"/>
    </row>
    <row r="5" spans="2:22" ht="15" thickBot="1">
      <c r="B5" s="221" t="s">
        <v>61</v>
      </c>
      <c r="C5" s="398"/>
      <c r="D5" s="1"/>
      <c r="E5" s="1"/>
      <c r="F5" s="1"/>
      <c r="G5" s="547" t="s">
        <v>506</v>
      </c>
      <c r="H5" s="548" t="e">
        <f>IF(C6="DirectDelivery/TBS",ROUND((H13-H6-H8-H9-H10),4),ROUND((H13-H6-H8-H9-H10-H7),4))</f>
        <v>#N/A</v>
      </c>
      <c r="J5" s="285" t="s">
        <v>283</v>
      </c>
      <c r="K5" s="25"/>
      <c r="L5" s="286"/>
      <c r="M5" s="25"/>
      <c r="N5" s="25"/>
      <c r="O5" s="25"/>
      <c r="P5" s="115"/>
      <c r="U5" s="1"/>
    </row>
    <row r="6" spans="2:22" ht="15" thickBot="1">
      <c r="B6" s="221" t="s">
        <v>78</v>
      </c>
      <c r="C6" s="407"/>
      <c r="D6" s="1"/>
      <c r="E6" s="1"/>
      <c r="F6" s="1"/>
      <c r="G6" s="549" t="s">
        <v>72</v>
      </c>
      <c r="H6" s="548">
        <f>C10*Rates!C3</f>
        <v>0</v>
      </c>
      <c r="J6" s="537" t="s">
        <v>283</v>
      </c>
      <c r="K6" s="539"/>
      <c r="L6" s="294"/>
      <c r="M6" s="294"/>
      <c r="N6" s="294"/>
      <c r="O6" s="294"/>
      <c r="P6" s="295"/>
      <c r="U6" s="1"/>
    </row>
    <row r="7" spans="2:22" ht="15" thickBot="1">
      <c r="B7" s="221" t="s">
        <v>80</v>
      </c>
      <c r="C7" s="407"/>
      <c r="D7" s="1"/>
      <c r="E7" s="1"/>
      <c r="F7" s="1"/>
      <c r="G7" s="549" t="s">
        <v>83</v>
      </c>
      <c r="H7" s="548">
        <f>IF(C6="LCBO Warehouse",C10*Rates!C4,0)</f>
        <v>0</v>
      </c>
      <c r="J7" s="558" t="s">
        <v>503</v>
      </c>
      <c r="K7" s="540"/>
      <c r="L7" s="288"/>
      <c r="M7" s="288"/>
      <c r="N7" s="288"/>
      <c r="O7" s="288"/>
      <c r="P7" s="289"/>
      <c r="R7" s="132"/>
      <c r="U7" s="6"/>
      <c r="V7" s="6"/>
    </row>
    <row r="8" spans="2:22" ht="15" thickBot="1">
      <c r="B8" s="221" t="s">
        <v>64</v>
      </c>
      <c r="C8" s="407"/>
      <c r="D8" s="1"/>
      <c r="E8" s="1"/>
      <c r="F8" s="1"/>
      <c r="G8" s="549" t="s">
        <v>84</v>
      </c>
      <c r="H8" s="548">
        <f>IF(C5="Micro",Rates!B11*C10,Rates!B12*C10)</f>
        <v>0</v>
      </c>
      <c r="J8" s="559" t="s">
        <v>497</v>
      </c>
      <c r="K8" s="557" t="e">
        <f>ROUND(H13,4)</f>
        <v>#N/A</v>
      </c>
      <c r="L8" s="288"/>
      <c r="M8" s="288"/>
      <c r="N8" s="288"/>
      <c r="O8" s="288"/>
      <c r="P8" s="289"/>
      <c r="U8" s="6"/>
    </row>
    <row r="9" spans="2:22" ht="15" thickBot="1">
      <c r="B9" s="217" t="s">
        <v>16</v>
      </c>
      <c r="C9" s="395"/>
      <c r="D9" s="1"/>
      <c r="E9" s="1"/>
      <c r="F9" s="1"/>
      <c r="G9" s="549" t="s">
        <v>36</v>
      </c>
      <c r="H9" s="548">
        <f>C10*Rates!B7</f>
        <v>0</v>
      </c>
      <c r="J9" s="538" t="s">
        <v>498</v>
      </c>
      <c r="K9" s="540" t="e">
        <f>ROUND(SUM(K8*10%),4)</f>
        <v>#N/A</v>
      </c>
      <c r="L9" s="288"/>
      <c r="M9" s="288"/>
      <c r="N9" s="288"/>
      <c r="O9" s="288"/>
      <c r="P9" s="289"/>
      <c r="U9" s="6"/>
    </row>
    <row r="10" spans="2:22" ht="15" thickBot="1">
      <c r="B10" s="216" t="s">
        <v>18</v>
      </c>
      <c r="C10" s="397"/>
      <c r="D10" s="1"/>
      <c r="E10" s="1"/>
      <c r="F10" s="1"/>
      <c r="G10" s="549" t="s">
        <v>19</v>
      </c>
      <c r="H10" s="548">
        <f>IF(C7="Yes",0,C12*Rates!B77)</f>
        <v>0</v>
      </c>
      <c r="J10" s="538" t="s">
        <v>500</v>
      </c>
      <c r="K10" s="540" t="e">
        <f>ROUND(SUM(K8-K9),2)</f>
        <v>#N/A</v>
      </c>
      <c r="L10" s="288"/>
      <c r="M10" s="288"/>
      <c r="N10" s="288"/>
      <c r="O10" s="288"/>
      <c r="P10" s="289"/>
      <c r="U10" s="6"/>
    </row>
    <row r="11" spans="2:22" ht="15" thickBot="1">
      <c r="B11" s="215" t="s">
        <v>20</v>
      </c>
      <c r="C11" s="398"/>
      <c r="D11" s="1"/>
      <c r="E11" s="1"/>
      <c r="F11" s="1"/>
      <c r="G11" s="549" t="s">
        <v>85</v>
      </c>
      <c r="H11" s="548">
        <v>0</v>
      </c>
      <c r="J11" s="538" t="s">
        <v>21</v>
      </c>
      <c r="K11" s="540" t="e">
        <f>ROUND(K10*C24,2)</f>
        <v>#N/A</v>
      </c>
      <c r="L11" s="288"/>
      <c r="M11" s="288"/>
      <c r="N11" s="288"/>
      <c r="O11" s="288"/>
      <c r="P11" s="289"/>
      <c r="R11" s="132"/>
      <c r="S11" s="132"/>
      <c r="U11" s="6"/>
    </row>
    <row r="12" spans="2:22" ht="15" thickBot="1">
      <c r="B12" s="215" t="s">
        <v>22</v>
      </c>
      <c r="C12" s="398"/>
      <c r="D12" s="1"/>
      <c r="E12" s="1"/>
      <c r="F12" s="1"/>
      <c r="G12" s="555" t="s">
        <v>38</v>
      </c>
      <c r="H12" s="556" t="e">
        <f>SUM(H5:H11)</f>
        <v>#N/A</v>
      </c>
      <c r="J12" s="538" t="s">
        <v>499</v>
      </c>
      <c r="K12" s="540" t="e">
        <f>ROUND(C23,2)</f>
        <v>#N/A</v>
      </c>
      <c r="L12" s="288"/>
      <c r="M12" s="288"/>
      <c r="N12" s="288"/>
      <c r="O12" s="288"/>
      <c r="P12" s="289"/>
      <c r="R12" s="133"/>
      <c r="U12" s="1"/>
    </row>
    <row r="13" spans="2:22" ht="15" thickBot="1">
      <c r="B13" s="218" t="s">
        <v>24</v>
      </c>
      <c r="C13" s="399"/>
      <c r="D13" s="574" t="s">
        <v>289</v>
      </c>
      <c r="E13" s="575"/>
      <c r="F13" s="1"/>
      <c r="G13" s="551" t="s">
        <v>508</v>
      </c>
      <c r="H13" s="552" t="e">
        <f>C4-H15-H14</f>
        <v>#N/A</v>
      </c>
      <c r="I13" s="137"/>
      <c r="J13" s="538" t="s">
        <v>504</v>
      </c>
      <c r="K13" s="540" t="e">
        <f>SUM(K10+K11+K12)</f>
        <v>#N/A</v>
      </c>
      <c r="L13" s="288"/>
      <c r="M13" s="288"/>
      <c r="N13" s="288"/>
      <c r="O13" s="288"/>
      <c r="P13" s="289"/>
      <c r="R13" s="133"/>
      <c r="U13" s="1"/>
    </row>
    <row r="14" spans="2:22" ht="19" thickBot="1">
      <c r="B14" s="218"/>
      <c r="C14" s="541"/>
      <c r="D14" s="525"/>
      <c r="E14" s="526"/>
      <c r="F14" s="1"/>
      <c r="G14" s="551" t="s">
        <v>21</v>
      </c>
      <c r="H14" s="553" t="e">
        <f>(C4-H15)/(1+(C24))*C24</f>
        <v>#N/A</v>
      </c>
      <c r="I14" s="137"/>
      <c r="J14" s="560" t="s">
        <v>505</v>
      </c>
      <c r="K14" s="557" t="e">
        <f>SUM(K13*C11)</f>
        <v>#N/A</v>
      </c>
      <c r="L14" s="288"/>
      <c r="M14" s="284"/>
      <c r="N14" s="288"/>
      <c r="O14" s="288"/>
      <c r="P14" s="289"/>
      <c r="R14" s="133"/>
      <c r="U14" s="1"/>
    </row>
    <row r="15" spans="2:22" ht="19" thickBot="1">
      <c r="B15" s="143" t="s">
        <v>449</v>
      </c>
      <c r="C15" s="213" t="e">
        <f>H4</f>
        <v>#N/A</v>
      </c>
      <c r="D15" s="434" t="e">
        <f>H12+H15</f>
        <v>#N/A</v>
      </c>
      <c r="E15" s="315" t="e">
        <f>C15-D15</f>
        <v>#N/A</v>
      </c>
      <c r="F15" s="1"/>
      <c r="G15" s="547" t="s">
        <v>42</v>
      </c>
      <c r="H15" s="552" t="e">
        <f>C12*C23</f>
        <v>#N/A</v>
      </c>
      <c r="I15" s="137"/>
      <c r="J15" s="561"/>
      <c r="K15" s="288"/>
      <c r="L15" s="288"/>
      <c r="M15" s="288"/>
      <c r="N15" s="288"/>
      <c r="O15" s="288"/>
      <c r="P15" s="289"/>
      <c r="R15" s="133"/>
      <c r="U15" s="1"/>
    </row>
    <row r="16" spans="2:22" ht="18.5">
      <c r="B16" s="543"/>
      <c r="C16" s="544"/>
      <c r="D16" s="545"/>
      <c r="E16" s="546"/>
      <c r="F16" s="1"/>
      <c r="G16" s="550" t="s">
        <v>507</v>
      </c>
      <c r="H16" s="554" t="e">
        <f>H13+H14+H15</f>
        <v>#N/A</v>
      </c>
      <c r="I16" s="137"/>
      <c r="J16" s="287"/>
      <c r="K16" s="288"/>
      <c r="L16" s="288"/>
      <c r="M16" s="288"/>
      <c r="N16" s="288"/>
      <c r="O16" s="288"/>
      <c r="P16" s="289"/>
      <c r="R16" s="133"/>
      <c r="U16" s="1"/>
    </row>
    <row r="17" spans="2:21" s="24" customFormat="1" ht="19" thickBot="1">
      <c r="B17" s="135"/>
      <c r="C17" s="136"/>
      <c r="D17" s="1"/>
      <c r="E17" s="1"/>
      <c r="F17" s="1"/>
      <c r="I17" s="137"/>
      <c r="J17" s="287"/>
      <c r="K17" s="288"/>
      <c r="L17" s="288"/>
      <c r="M17" s="288"/>
      <c r="N17" s="288"/>
      <c r="O17" s="288"/>
      <c r="P17" s="289"/>
      <c r="Q17" s="36"/>
      <c r="R17" s="133"/>
      <c r="S17" s="36"/>
      <c r="T17" s="36"/>
    </row>
    <row r="18" spans="2:21">
      <c r="B18" s="144" t="s">
        <v>63</v>
      </c>
      <c r="C18" s="67">
        <f>Rates!C3</f>
        <v>0.74109999999999998</v>
      </c>
      <c r="D18" s="319"/>
      <c r="E18" s="319"/>
      <c r="F18" s="319"/>
      <c r="G18" s="542"/>
      <c r="I18" s="1"/>
      <c r="J18" s="287"/>
      <c r="K18" s="288"/>
      <c r="L18" s="288"/>
      <c r="M18" s="288"/>
      <c r="N18" s="288"/>
      <c r="O18" s="288"/>
      <c r="P18" s="289"/>
      <c r="Q18" s="8"/>
      <c r="R18" s="1"/>
      <c r="S18" s="8"/>
      <c r="T18" s="1"/>
      <c r="U18" s="1"/>
    </row>
    <row r="19" spans="2:21">
      <c r="B19" s="145" t="s">
        <v>66</v>
      </c>
      <c r="C19" s="42">
        <f>Rates!C4</f>
        <v>0.2006</v>
      </c>
      <c r="D19" s="368"/>
      <c r="E19" s="368"/>
      <c r="F19" s="368"/>
      <c r="I19" s="138"/>
      <c r="J19" s="287"/>
      <c r="K19" s="288"/>
      <c r="L19" s="288"/>
      <c r="M19" s="288"/>
      <c r="N19" s="288"/>
      <c r="O19" s="288"/>
      <c r="P19" s="289"/>
      <c r="Q19" s="133"/>
      <c r="S19" s="133"/>
    </row>
    <row r="20" spans="2:21">
      <c r="B20" s="145" t="s">
        <v>67</v>
      </c>
      <c r="C20" s="270" t="e">
        <f>VLOOKUP(C5,Rates!A11:B12,2,FALSE)</f>
        <v>#N/A</v>
      </c>
      <c r="D20" s="368"/>
      <c r="E20" s="368"/>
      <c r="F20" s="368"/>
      <c r="I20" s="138"/>
      <c r="J20" s="287"/>
      <c r="K20" s="288"/>
      <c r="L20" s="288"/>
      <c r="M20" s="288"/>
      <c r="N20" s="288"/>
      <c r="O20" s="288"/>
      <c r="P20" s="289"/>
      <c r="Q20" s="133"/>
      <c r="S20" s="133"/>
    </row>
    <row r="21" spans="2:21" ht="15.75" customHeight="1" thickBot="1">
      <c r="B21" s="145" t="s">
        <v>68</v>
      </c>
      <c r="C21" s="156">
        <f>Rates!B7</f>
        <v>0.17599999999999999</v>
      </c>
      <c r="D21" s="368"/>
      <c r="E21" s="368"/>
      <c r="F21" s="368"/>
      <c r="G21" s="368"/>
      <c r="H21" s="368"/>
      <c r="I21" s="138"/>
      <c r="J21" s="290"/>
      <c r="K21" s="291"/>
      <c r="L21" s="291"/>
      <c r="M21" s="291"/>
      <c r="N21" s="291"/>
      <c r="O21" s="291"/>
      <c r="P21" s="292"/>
    </row>
    <row r="22" spans="2:21">
      <c r="B22" s="145" t="s">
        <v>19</v>
      </c>
      <c r="C22" s="42">
        <f>Rates!B77</f>
        <v>8.9300000000000004E-2</v>
      </c>
      <c r="D22" s="368"/>
      <c r="E22" s="368"/>
      <c r="F22" s="368"/>
      <c r="G22" s="1" t="s">
        <v>4</v>
      </c>
      <c r="H22" s="368"/>
      <c r="I22" s="139"/>
    </row>
    <row r="23" spans="2:21">
      <c r="B23" s="43" t="s">
        <v>23</v>
      </c>
      <c r="C23" s="159" t="e">
        <f>VLOOKUP(C8,Rates!A82:B86,2,FALSE)</f>
        <v>#N/A</v>
      </c>
      <c r="D23" s="368"/>
      <c r="E23" s="368"/>
      <c r="F23" s="368"/>
      <c r="G23" s="223" t="s">
        <v>8</v>
      </c>
      <c r="H23" s="369"/>
      <c r="I23" s="138"/>
    </row>
    <row r="24" spans="2:21" ht="15" thickBot="1">
      <c r="B24" s="145" t="s">
        <v>21</v>
      </c>
      <c r="C24" s="171">
        <f>Rates!B79</f>
        <v>0.13</v>
      </c>
      <c r="D24" s="368"/>
      <c r="E24" s="368"/>
      <c r="F24" s="368"/>
      <c r="G24" s="368"/>
      <c r="H24" s="368"/>
      <c r="I24" s="138"/>
    </row>
    <row r="25" spans="2:21" ht="16" thickBot="1">
      <c r="B25" s="145" t="s">
        <v>69</v>
      </c>
      <c r="C25" s="433">
        <f>Rates!B31</f>
        <v>0</v>
      </c>
      <c r="D25" s="368"/>
      <c r="E25" s="368"/>
      <c r="F25" s="368"/>
      <c r="G25" s="450" t="s">
        <v>331</v>
      </c>
      <c r="H25" s="451">
        <v>29.57</v>
      </c>
      <c r="I25" s="140"/>
      <c r="J25" s="93" t="s">
        <v>40</v>
      </c>
      <c r="K25" s="94"/>
    </row>
    <row r="26" spans="2:21" ht="15" thickBot="1">
      <c r="B26" s="146" t="s">
        <v>70</v>
      </c>
      <c r="C26" s="151">
        <f>Rates!B32</f>
        <v>0</v>
      </c>
      <c r="D26" s="369"/>
      <c r="E26" s="369"/>
      <c r="F26" s="369"/>
      <c r="G26" s="452" t="s">
        <v>332</v>
      </c>
      <c r="H26" s="453">
        <f>C9</f>
        <v>0</v>
      </c>
      <c r="I26" s="132"/>
      <c r="J26" s="576" t="s">
        <v>315</v>
      </c>
      <c r="K26" s="577"/>
      <c r="L26" s="449"/>
    </row>
    <row r="27" spans="2:21">
      <c r="D27" s="368"/>
      <c r="E27" s="368"/>
      <c r="F27" s="368"/>
      <c r="G27" s="452" t="s">
        <v>328</v>
      </c>
      <c r="H27" s="453" t="e">
        <f>C23*C11</f>
        <v>#N/A</v>
      </c>
      <c r="I27" s="132"/>
      <c r="J27" s="578"/>
      <c r="K27" s="579"/>
      <c r="L27" s="449"/>
    </row>
    <row r="28" spans="2:21">
      <c r="D28" s="370"/>
      <c r="E28" s="370"/>
      <c r="F28" s="370"/>
      <c r="G28" s="452" t="s">
        <v>67</v>
      </c>
      <c r="H28" s="454" t="e">
        <f>ROUND(C20*C10,4)*C11</f>
        <v>#N/A</v>
      </c>
      <c r="I28" s="132"/>
      <c r="J28" s="578"/>
      <c r="K28" s="579"/>
      <c r="L28" s="449"/>
    </row>
    <row r="29" spans="2:21">
      <c r="D29" s="349"/>
      <c r="E29" s="349"/>
      <c r="F29" s="349"/>
      <c r="G29" s="452" t="s">
        <v>327</v>
      </c>
      <c r="H29" s="455">
        <f>H10*C11</f>
        <v>0</v>
      </c>
      <c r="I29" s="141"/>
      <c r="J29" s="578"/>
      <c r="K29" s="579"/>
      <c r="L29" s="36"/>
    </row>
    <row r="30" spans="2:21">
      <c r="E30" s="371"/>
      <c r="F30" s="371"/>
      <c r="G30" s="456" t="s">
        <v>326</v>
      </c>
      <c r="H30" s="457">
        <f>H9*C11</f>
        <v>0</v>
      </c>
      <c r="I30" s="141"/>
      <c r="J30" s="578"/>
      <c r="K30" s="579"/>
    </row>
    <row r="31" spans="2:21" ht="15" thickBot="1">
      <c r="D31" s="349"/>
      <c r="E31" s="349"/>
      <c r="F31" s="349"/>
      <c r="G31" s="456" t="s">
        <v>324</v>
      </c>
      <c r="H31" s="458">
        <f>ROUND(C10*C18*C11,4)</f>
        <v>0</v>
      </c>
      <c r="J31" s="580"/>
      <c r="K31" s="581"/>
    </row>
    <row r="32" spans="2:21">
      <c r="D32" s="349"/>
      <c r="E32" s="349"/>
      <c r="F32" s="349"/>
      <c r="G32" s="452" t="s">
        <v>325</v>
      </c>
      <c r="H32" s="455">
        <f>H7*C11</f>
        <v>0</v>
      </c>
      <c r="I32" s="132"/>
      <c r="K32" s="36"/>
      <c r="L32" s="36"/>
    </row>
    <row r="33" spans="4:12">
      <c r="D33" s="349"/>
      <c r="E33" s="349"/>
      <c r="F33" s="349"/>
      <c r="G33" s="452" t="s">
        <v>329</v>
      </c>
      <c r="H33" s="461" t="e">
        <f>SUM(H25:H32)-H27</f>
        <v>#N/A</v>
      </c>
      <c r="I33" s="132"/>
      <c r="J33" s="36"/>
      <c r="K33" s="36"/>
      <c r="L33" s="36"/>
    </row>
    <row r="34" spans="4:12">
      <c r="D34" s="349"/>
      <c r="E34" s="349"/>
      <c r="F34" s="349"/>
      <c r="G34" s="452" t="s">
        <v>330</v>
      </c>
      <c r="H34" s="453" t="e">
        <f>ROUND(H33/C11,2)</f>
        <v>#N/A</v>
      </c>
      <c r="I34" s="142"/>
    </row>
    <row r="35" spans="4:12">
      <c r="G35" s="452" t="s">
        <v>21</v>
      </c>
      <c r="H35" s="453" t="e">
        <f>ROUND(H34*C24,2)</f>
        <v>#N/A</v>
      </c>
      <c r="I35" s="127"/>
    </row>
    <row r="36" spans="4:12">
      <c r="G36" s="452" t="s">
        <v>328</v>
      </c>
      <c r="H36" s="453" t="e">
        <f>C23*C12</f>
        <v>#N/A</v>
      </c>
      <c r="I36" s="128"/>
    </row>
    <row r="37" spans="4:12">
      <c r="G37" s="452" t="s">
        <v>49</v>
      </c>
      <c r="H37" s="453" t="e">
        <f>SUM(H34:H36)</f>
        <v>#N/A</v>
      </c>
    </row>
    <row r="38" spans="4:12">
      <c r="G38" s="459" t="s">
        <v>86</v>
      </c>
      <c r="H38" s="460" t="e">
        <f>IF(MOD(H37*1000,50)&gt;24.99,CEILING(H37,0.05),FLOOR(H37,0.05))</f>
        <v>#N/A</v>
      </c>
    </row>
    <row r="49" spans="3:16">
      <c r="P49" s="134"/>
    </row>
    <row r="52" spans="3:16">
      <c r="G52" s="1"/>
      <c r="H52" s="1"/>
    </row>
    <row r="53" spans="3:16">
      <c r="G53" s="1"/>
      <c r="H53" s="1"/>
    </row>
    <row r="54" spans="3:16">
      <c r="C54" s="1"/>
      <c r="D54" s="1"/>
      <c r="E54" s="1"/>
      <c r="F54" s="1"/>
      <c r="G54" s="1"/>
      <c r="H54" s="1"/>
    </row>
    <row r="55" spans="3:16">
      <c r="C55" s="1"/>
      <c r="D55" s="1"/>
      <c r="E55" s="1"/>
      <c r="F55" s="1"/>
      <c r="G55" s="1"/>
      <c r="H55" s="1"/>
    </row>
    <row r="56" spans="3:16">
      <c r="C56" s="1"/>
      <c r="D56" s="1"/>
      <c r="E56" s="1"/>
      <c r="F56" s="1"/>
      <c r="G56" s="1"/>
      <c r="H56" s="1"/>
    </row>
    <row r="57" spans="3:16">
      <c r="C57" s="1"/>
      <c r="D57" s="1"/>
      <c r="E57" s="1"/>
      <c r="F57" s="1"/>
      <c r="G57" s="1"/>
      <c r="H57" s="1"/>
    </row>
    <row r="58" spans="3:16">
      <c r="C58" s="1"/>
      <c r="D58" s="1"/>
      <c r="E58" s="1"/>
      <c r="F58" s="1"/>
      <c r="G58" s="1"/>
      <c r="H58" s="1"/>
    </row>
    <row r="59" spans="3:16">
      <c r="C59" s="1"/>
      <c r="D59" s="1"/>
      <c r="E59" s="1"/>
      <c r="F59" s="1"/>
      <c r="G59" s="1"/>
      <c r="H59" s="1"/>
    </row>
    <row r="60" spans="3:16">
      <c r="C60" s="1"/>
      <c r="D60" s="1"/>
      <c r="E60" s="1"/>
      <c r="F60" s="1"/>
      <c r="G60" s="1"/>
      <c r="H60" s="1"/>
    </row>
    <row r="61" spans="3:16">
      <c r="C61" s="1"/>
      <c r="D61" s="1"/>
      <c r="E61" s="1"/>
      <c r="F61" s="1"/>
      <c r="G61" s="1"/>
      <c r="H61" s="1"/>
    </row>
    <row r="62" spans="3:16">
      <c r="C62" s="1"/>
      <c r="D62" s="1"/>
      <c r="E62" s="1"/>
      <c r="F62" s="1"/>
      <c r="G62" s="1"/>
      <c r="H62" s="1"/>
    </row>
    <row r="63" spans="3:16">
      <c r="C63" s="1"/>
      <c r="D63" s="1"/>
      <c r="E63" s="1"/>
      <c r="F63" s="1"/>
    </row>
    <row r="64" spans="3:16">
      <c r="C64" s="1"/>
      <c r="D64" s="1"/>
      <c r="E64" s="1"/>
      <c r="F64" s="1"/>
    </row>
  </sheetData>
  <sheetProtection formatColumns="0" autoFilter="0" pivotTables="0"/>
  <protectedRanges>
    <protectedRange sqref="C4:C14" name="Modifiable Cells"/>
    <protectedRange sqref="C23 C25:C26 C20" name="Range1"/>
    <protectedRange password="CCE3" sqref="B23" name="Range3_1_1"/>
  </protectedRanges>
  <mergeCells count="2">
    <mergeCell ref="D13:E13"/>
    <mergeCell ref="J26:K31"/>
  </mergeCells>
  <conditionalFormatting sqref="E15:E16">
    <cfRule type="cellIs" dxfId="38" priority="1" operator="lessThan">
      <formula>0</formula>
    </cfRule>
    <cfRule type="cellIs" dxfId="37" priority="2" operator="greaterThan">
      <formula>0</formula>
    </cfRule>
    <cfRule type="cellIs" dxfId="36" priority="3" operator="greaterThan">
      <formula>0</formula>
    </cfRule>
  </conditionalFormatting>
  <hyperlinks>
    <hyperlink ref="G23" r:id="rId1" display="https://www.doingbusinesswithlcbo.com/content/dbwl/en/basepage/home/new-supplier-agent/Pricing/HelpfulToolsandLinks.html" xr:uid="{F570A2EE-E220-4E2E-B5C6-655AF55A0ACD}"/>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06891429-0CD4-4568-80BD-A574E3007864}">
          <x14:formula1>
            <xm:f>Rates!$C$94:$C$95</xm:f>
          </x14:formula1>
          <xm:sqref>G9</xm:sqref>
        </x14:dataValidation>
        <x14:dataValidation type="list" showInputMessage="1" showErrorMessage="1" xr:uid="{06A3EC1A-4942-4ABB-8468-5371E75F831F}">
          <x14:formula1>
            <xm:f>Rates!$E$94:$E$95</xm:f>
          </x14:formula1>
          <xm:sqref>C7 G8</xm:sqref>
        </x14:dataValidation>
        <x14:dataValidation type="list" showInputMessage="1" showErrorMessage="1" xr:uid="{1DF0B20E-50CB-47D6-8F72-D5E30F880F71}">
          <x14:formula1>
            <xm:f>Rates!$D$94:$D$95</xm:f>
          </x14:formula1>
          <xm:sqref>C6 G7</xm:sqref>
        </x14:dataValidation>
        <x14:dataValidation type="list" showInputMessage="1" showErrorMessage="1" xr:uid="{75B080AD-375C-4EB6-A8D0-6458441FAE7D}">
          <x14:formula1>
            <xm:f>Rates!$B$94:$B$95</xm:f>
          </x14:formula1>
          <xm:sqref>C5 G6</xm:sqref>
        </x14:dataValidation>
        <x14:dataValidation type="list" allowBlank="1" showInputMessage="1" showErrorMessage="1" xr:uid="{D964FF3B-534B-4E90-B1AD-36BD74B8E14B}">
          <x14:formula1>
            <xm:f>Rates!$A$82:$A$86</xm:f>
          </x14:formula1>
          <xm:sqref>C8</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7086-DA68-4B58-A522-6D7FACB4AA0F}">
  <sheetPr codeName="Sheet8">
    <tabColor theme="6" tint="-0.249977111117893"/>
  </sheetPr>
  <dimension ref="B1:X86"/>
  <sheetViews>
    <sheetView zoomScale="115" zoomScaleNormal="115" workbookViewId="0">
      <selection activeCell="B1" sqref="B1"/>
    </sheetView>
  </sheetViews>
  <sheetFormatPr defaultColWidth="9.765625" defaultRowHeight="14.5"/>
  <cols>
    <col min="1" max="1" width="1.765625" style="1" customWidth="1"/>
    <col min="2" max="2" width="23.53515625" style="1" customWidth="1"/>
    <col min="3" max="3" width="20.69140625" style="1" customWidth="1"/>
    <col min="4" max="4" width="10.765625" style="1" customWidth="1"/>
    <col min="5" max="5" width="8.765625" style="1" customWidth="1"/>
    <col min="6" max="6" width="1.765625" style="1" customWidth="1"/>
    <col min="7" max="7" width="26.69140625" style="1" bestFit="1" customWidth="1"/>
    <col min="8" max="8" width="20.69140625" style="1" customWidth="1"/>
    <col min="9" max="9" width="1.765625" style="1" customWidth="1"/>
    <col min="10" max="10" width="17.69140625" style="1" bestFit="1" customWidth="1"/>
    <col min="11" max="11" width="12.3046875" style="1" customWidth="1"/>
    <col min="12" max="12" width="13.07421875" style="1" customWidth="1"/>
    <col min="13" max="13" width="8.23046875" style="1" customWidth="1"/>
    <col min="14" max="14" width="1.765625" style="1" customWidth="1"/>
    <col min="15" max="15" width="11.07421875" style="1" customWidth="1"/>
    <col min="16" max="16" width="11" style="1" customWidth="1"/>
    <col min="17" max="17" width="12.07421875" style="1" customWidth="1"/>
    <col min="18" max="18" width="7.765625" style="1" customWidth="1"/>
    <col min="19" max="19" width="14.4609375" style="1" customWidth="1"/>
    <col min="20" max="262" width="9.765625" style="1"/>
    <col min="263" max="263" width="22.4609375" style="1" customWidth="1"/>
    <col min="264" max="264" width="12.4609375" style="1" customWidth="1"/>
    <col min="265" max="265" width="8.765625" style="1" customWidth="1"/>
    <col min="266" max="266" width="20.765625" style="1" customWidth="1"/>
    <col min="267" max="267" width="18" style="1" customWidth="1"/>
    <col min="268" max="268" width="13.07421875" style="1" customWidth="1"/>
    <col min="269" max="269" width="8.23046875" style="1" customWidth="1"/>
    <col min="270" max="270" width="1.765625" style="1" customWidth="1"/>
    <col min="271" max="271" width="11.07421875" style="1" customWidth="1"/>
    <col min="272" max="272" width="11" style="1" customWidth="1"/>
    <col min="273" max="273" width="12.07421875" style="1" customWidth="1"/>
    <col min="274" max="274" width="7.765625" style="1" customWidth="1"/>
    <col min="275" max="275" width="14.4609375" style="1" customWidth="1"/>
    <col min="276" max="518" width="9.765625" style="1"/>
    <col min="519" max="519" width="22.4609375" style="1" customWidth="1"/>
    <col min="520" max="520" width="12.4609375" style="1" customWidth="1"/>
    <col min="521" max="521" width="8.765625" style="1" customWidth="1"/>
    <col min="522" max="522" width="20.765625" style="1" customWidth="1"/>
    <col min="523" max="523" width="18" style="1" customWidth="1"/>
    <col min="524" max="524" width="13.07421875" style="1" customWidth="1"/>
    <col min="525" max="525" width="8.23046875" style="1" customWidth="1"/>
    <col min="526" max="526" width="1.765625" style="1" customWidth="1"/>
    <col min="527" max="527" width="11.07421875" style="1" customWidth="1"/>
    <col min="528" max="528" width="11" style="1" customWidth="1"/>
    <col min="529" max="529" width="12.07421875" style="1" customWidth="1"/>
    <col min="530" max="530" width="7.765625" style="1" customWidth="1"/>
    <col min="531" max="531" width="14.4609375" style="1" customWidth="1"/>
    <col min="532" max="774" width="9.765625" style="1"/>
    <col min="775" max="775" width="22.4609375" style="1" customWidth="1"/>
    <col min="776" max="776" width="12.4609375" style="1" customWidth="1"/>
    <col min="777" max="777" width="8.765625" style="1" customWidth="1"/>
    <col min="778" max="778" width="20.765625" style="1" customWidth="1"/>
    <col min="779" max="779" width="18" style="1" customWidth="1"/>
    <col min="780" max="780" width="13.07421875" style="1" customWidth="1"/>
    <col min="781" max="781" width="8.23046875" style="1" customWidth="1"/>
    <col min="782" max="782" width="1.765625" style="1" customWidth="1"/>
    <col min="783" max="783" width="11.07421875" style="1" customWidth="1"/>
    <col min="784" max="784" width="11" style="1" customWidth="1"/>
    <col min="785" max="785" width="12.07421875" style="1" customWidth="1"/>
    <col min="786" max="786" width="7.765625" style="1" customWidth="1"/>
    <col min="787" max="787" width="14.4609375" style="1" customWidth="1"/>
    <col min="788" max="1030" width="9.765625" style="1"/>
    <col min="1031" max="1031" width="22.4609375" style="1" customWidth="1"/>
    <col min="1032" max="1032" width="12.4609375" style="1" customWidth="1"/>
    <col min="1033" max="1033" width="8.765625" style="1" customWidth="1"/>
    <col min="1034" max="1034" width="20.765625" style="1" customWidth="1"/>
    <col min="1035" max="1035" width="18" style="1" customWidth="1"/>
    <col min="1036" max="1036" width="13.07421875" style="1" customWidth="1"/>
    <col min="1037" max="1037" width="8.23046875" style="1" customWidth="1"/>
    <col min="1038" max="1038" width="1.765625" style="1" customWidth="1"/>
    <col min="1039" max="1039" width="11.07421875" style="1" customWidth="1"/>
    <col min="1040" max="1040" width="11" style="1" customWidth="1"/>
    <col min="1041" max="1041" width="12.07421875" style="1" customWidth="1"/>
    <col min="1042" max="1042" width="7.765625" style="1" customWidth="1"/>
    <col min="1043" max="1043" width="14.4609375" style="1" customWidth="1"/>
    <col min="1044" max="1286" width="9.765625" style="1"/>
    <col min="1287" max="1287" width="22.4609375" style="1" customWidth="1"/>
    <col min="1288" max="1288" width="12.4609375" style="1" customWidth="1"/>
    <col min="1289" max="1289" width="8.765625" style="1" customWidth="1"/>
    <col min="1290" max="1290" width="20.765625" style="1" customWidth="1"/>
    <col min="1291" max="1291" width="18" style="1" customWidth="1"/>
    <col min="1292" max="1292" width="13.07421875" style="1" customWidth="1"/>
    <col min="1293" max="1293" width="8.23046875" style="1" customWidth="1"/>
    <col min="1294" max="1294" width="1.765625" style="1" customWidth="1"/>
    <col min="1295" max="1295" width="11.07421875" style="1" customWidth="1"/>
    <col min="1296" max="1296" width="11" style="1" customWidth="1"/>
    <col min="1297" max="1297" width="12.07421875" style="1" customWidth="1"/>
    <col min="1298" max="1298" width="7.765625" style="1" customWidth="1"/>
    <col min="1299" max="1299" width="14.4609375" style="1" customWidth="1"/>
    <col min="1300" max="1542" width="9.765625" style="1"/>
    <col min="1543" max="1543" width="22.4609375" style="1" customWidth="1"/>
    <col min="1544" max="1544" width="12.4609375" style="1" customWidth="1"/>
    <col min="1545" max="1545" width="8.765625" style="1" customWidth="1"/>
    <col min="1546" max="1546" width="20.765625" style="1" customWidth="1"/>
    <col min="1547" max="1547" width="18" style="1" customWidth="1"/>
    <col min="1548" max="1548" width="13.07421875" style="1" customWidth="1"/>
    <col min="1549" max="1549" width="8.23046875" style="1" customWidth="1"/>
    <col min="1550" max="1550" width="1.765625" style="1" customWidth="1"/>
    <col min="1551" max="1551" width="11.07421875" style="1" customWidth="1"/>
    <col min="1552" max="1552" width="11" style="1" customWidth="1"/>
    <col min="1553" max="1553" width="12.07421875" style="1" customWidth="1"/>
    <col min="1554" max="1554" width="7.765625" style="1" customWidth="1"/>
    <col min="1555" max="1555" width="14.4609375" style="1" customWidth="1"/>
    <col min="1556" max="1798" width="9.765625" style="1"/>
    <col min="1799" max="1799" width="22.4609375" style="1" customWidth="1"/>
    <col min="1800" max="1800" width="12.4609375" style="1" customWidth="1"/>
    <col min="1801" max="1801" width="8.765625" style="1" customWidth="1"/>
    <col min="1802" max="1802" width="20.765625" style="1" customWidth="1"/>
    <col min="1803" max="1803" width="18" style="1" customWidth="1"/>
    <col min="1804" max="1804" width="13.07421875" style="1" customWidth="1"/>
    <col min="1805" max="1805" width="8.23046875" style="1" customWidth="1"/>
    <col min="1806" max="1806" width="1.765625" style="1" customWidth="1"/>
    <col min="1807" max="1807" width="11.07421875" style="1" customWidth="1"/>
    <col min="1808" max="1808" width="11" style="1" customWidth="1"/>
    <col min="1809" max="1809" width="12.07421875" style="1" customWidth="1"/>
    <col min="1810" max="1810" width="7.765625" style="1" customWidth="1"/>
    <col min="1811" max="1811" width="14.4609375" style="1" customWidth="1"/>
    <col min="1812" max="2054" width="9.765625" style="1"/>
    <col min="2055" max="2055" width="22.4609375" style="1" customWidth="1"/>
    <col min="2056" max="2056" width="12.4609375" style="1" customWidth="1"/>
    <col min="2057" max="2057" width="8.765625" style="1" customWidth="1"/>
    <col min="2058" max="2058" width="20.765625" style="1" customWidth="1"/>
    <col min="2059" max="2059" width="18" style="1" customWidth="1"/>
    <col min="2060" max="2060" width="13.07421875" style="1" customWidth="1"/>
    <col min="2061" max="2061" width="8.23046875" style="1" customWidth="1"/>
    <col min="2062" max="2062" width="1.765625" style="1" customWidth="1"/>
    <col min="2063" max="2063" width="11.07421875" style="1" customWidth="1"/>
    <col min="2064" max="2064" width="11" style="1" customWidth="1"/>
    <col min="2065" max="2065" width="12.07421875" style="1" customWidth="1"/>
    <col min="2066" max="2066" width="7.765625" style="1" customWidth="1"/>
    <col min="2067" max="2067" width="14.4609375" style="1" customWidth="1"/>
    <col min="2068" max="2310" width="9.765625" style="1"/>
    <col min="2311" max="2311" width="22.4609375" style="1" customWidth="1"/>
    <col min="2312" max="2312" width="12.4609375" style="1" customWidth="1"/>
    <col min="2313" max="2313" width="8.765625" style="1" customWidth="1"/>
    <col min="2314" max="2314" width="20.765625" style="1" customWidth="1"/>
    <col min="2315" max="2315" width="18" style="1" customWidth="1"/>
    <col min="2316" max="2316" width="13.07421875" style="1" customWidth="1"/>
    <col min="2317" max="2317" width="8.23046875" style="1" customWidth="1"/>
    <col min="2318" max="2318" width="1.765625" style="1" customWidth="1"/>
    <col min="2319" max="2319" width="11.07421875" style="1" customWidth="1"/>
    <col min="2320" max="2320" width="11" style="1" customWidth="1"/>
    <col min="2321" max="2321" width="12.07421875" style="1" customWidth="1"/>
    <col min="2322" max="2322" width="7.765625" style="1" customWidth="1"/>
    <col min="2323" max="2323" width="14.4609375" style="1" customWidth="1"/>
    <col min="2324" max="2566" width="9.765625" style="1"/>
    <col min="2567" max="2567" width="22.4609375" style="1" customWidth="1"/>
    <col min="2568" max="2568" width="12.4609375" style="1" customWidth="1"/>
    <col min="2569" max="2569" width="8.765625" style="1" customWidth="1"/>
    <col min="2570" max="2570" width="20.765625" style="1" customWidth="1"/>
    <col min="2571" max="2571" width="18" style="1" customWidth="1"/>
    <col min="2572" max="2572" width="13.07421875" style="1" customWidth="1"/>
    <col min="2573" max="2573" width="8.23046875" style="1" customWidth="1"/>
    <col min="2574" max="2574" width="1.765625" style="1" customWidth="1"/>
    <col min="2575" max="2575" width="11.07421875" style="1" customWidth="1"/>
    <col min="2576" max="2576" width="11" style="1" customWidth="1"/>
    <col min="2577" max="2577" width="12.07421875" style="1" customWidth="1"/>
    <col min="2578" max="2578" width="7.765625" style="1" customWidth="1"/>
    <col min="2579" max="2579" width="14.4609375" style="1" customWidth="1"/>
    <col min="2580" max="2822" width="9.765625" style="1"/>
    <col min="2823" max="2823" width="22.4609375" style="1" customWidth="1"/>
    <col min="2824" max="2824" width="12.4609375" style="1" customWidth="1"/>
    <col min="2825" max="2825" width="8.765625" style="1" customWidth="1"/>
    <col min="2826" max="2826" width="20.765625" style="1" customWidth="1"/>
    <col min="2827" max="2827" width="18" style="1" customWidth="1"/>
    <col min="2828" max="2828" width="13.07421875" style="1" customWidth="1"/>
    <col min="2829" max="2829" width="8.23046875" style="1" customWidth="1"/>
    <col min="2830" max="2830" width="1.765625" style="1" customWidth="1"/>
    <col min="2831" max="2831" width="11.07421875" style="1" customWidth="1"/>
    <col min="2832" max="2832" width="11" style="1" customWidth="1"/>
    <col min="2833" max="2833" width="12.07421875" style="1" customWidth="1"/>
    <col min="2834" max="2834" width="7.765625" style="1" customWidth="1"/>
    <col min="2835" max="2835" width="14.4609375" style="1" customWidth="1"/>
    <col min="2836" max="3078" width="9.765625" style="1"/>
    <col min="3079" max="3079" width="22.4609375" style="1" customWidth="1"/>
    <col min="3080" max="3080" width="12.4609375" style="1" customWidth="1"/>
    <col min="3081" max="3081" width="8.765625" style="1" customWidth="1"/>
    <col min="3082" max="3082" width="20.765625" style="1" customWidth="1"/>
    <col min="3083" max="3083" width="18" style="1" customWidth="1"/>
    <col min="3084" max="3084" width="13.07421875" style="1" customWidth="1"/>
    <col min="3085" max="3085" width="8.23046875" style="1" customWidth="1"/>
    <col min="3086" max="3086" width="1.765625" style="1" customWidth="1"/>
    <col min="3087" max="3087" width="11.07421875" style="1" customWidth="1"/>
    <col min="3088" max="3088" width="11" style="1" customWidth="1"/>
    <col min="3089" max="3089" width="12.07421875" style="1" customWidth="1"/>
    <col min="3090" max="3090" width="7.765625" style="1" customWidth="1"/>
    <col min="3091" max="3091" width="14.4609375" style="1" customWidth="1"/>
    <col min="3092" max="3334" width="9.765625" style="1"/>
    <col min="3335" max="3335" width="22.4609375" style="1" customWidth="1"/>
    <col min="3336" max="3336" width="12.4609375" style="1" customWidth="1"/>
    <col min="3337" max="3337" width="8.765625" style="1" customWidth="1"/>
    <col min="3338" max="3338" width="20.765625" style="1" customWidth="1"/>
    <col min="3339" max="3339" width="18" style="1" customWidth="1"/>
    <col min="3340" max="3340" width="13.07421875" style="1" customWidth="1"/>
    <col min="3341" max="3341" width="8.23046875" style="1" customWidth="1"/>
    <col min="3342" max="3342" width="1.765625" style="1" customWidth="1"/>
    <col min="3343" max="3343" width="11.07421875" style="1" customWidth="1"/>
    <col min="3344" max="3344" width="11" style="1" customWidth="1"/>
    <col min="3345" max="3345" width="12.07421875" style="1" customWidth="1"/>
    <col min="3346" max="3346" width="7.765625" style="1" customWidth="1"/>
    <col min="3347" max="3347" width="14.4609375" style="1" customWidth="1"/>
    <col min="3348" max="3590" width="9.765625" style="1"/>
    <col min="3591" max="3591" width="22.4609375" style="1" customWidth="1"/>
    <col min="3592" max="3592" width="12.4609375" style="1" customWidth="1"/>
    <col min="3593" max="3593" width="8.765625" style="1" customWidth="1"/>
    <col min="3594" max="3594" width="20.765625" style="1" customWidth="1"/>
    <col min="3595" max="3595" width="18" style="1" customWidth="1"/>
    <col min="3596" max="3596" width="13.07421875" style="1" customWidth="1"/>
    <col min="3597" max="3597" width="8.23046875" style="1" customWidth="1"/>
    <col min="3598" max="3598" width="1.765625" style="1" customWidth="1"/>
    <col min="3599" max="3599" width="11.07421875" style="1" customWidth="1"/>
    <col min="3600" max="3600" width="11" style="1" customWidth="1"/>
    <col min="3601" max="3601" width="12.07421875" style="1" customWidth="1"/>
    <col min="3602" max="3602" width="7.765625" style="1" customWidth="1"/>
    <col min="3603" max="3603" width="14.4609375" style="1" customWidth="1"/>
    <col min="3604" max="3846" width="9.765625" style="1"/>
    <col min="3847" max="3847" width="22.4609375" style="1" customWidth="1"/>
    <col min="3848" max="3848" width="12.4609375" style="1" customWidth="1"/>
    <col min="3849" max="3849" width="8.765625" style="1" customWidth="1"/>
    <col min="3850" max="3850" width="20.765625" style="1" customWidth="1"/>
    <col min="3851" max="3851" width="18" style="1" customWidth="1"/>
    <col min="3852" max="3852" width="13.07421875" style="1" customWidth="1"/>
    <col min="3853" max="3853" width="8.23046875" style="1" customWidth="1"/>
    <col min="3854" max="3854" width="1.765625" style="1" customWidth="1"/>
    <col min="3855" max="3855" width="11.07421875" style="1" customWidth="1"/>
    <col min="3856" max="3856" width="11" style="1" customWidth="1"/>
    <col min="3857" max="3857" width="12.07421875" style="1" customWidth="1"/>
    <col min="3858" max="3858" width="7.765625" style="1" customWidth="1"/>
    <col min="3859" max="3859" width="14.4609375" style="1" customWidth="1"/>
    <col min="3860" max="4102" width="9.765625" style="1"/>
    <col min="4103" max="4103" width="22.4609375" style="1" customWidth="1"/>
    <col min="4104" max="4104" width="12.4609375" style="1" customWidth="1"/>
    <col min="4105" max="4105" width="8.765625" style="1" customWidth="1"/>
    <col min="4106" max="4106" width="20.765625" style="1" customWidth="1"/>
    <col min="4107" max="4107" width="18" style="1" customWidth="1"/>
    <col min="4108" max="4108" width="13.07421875" style="1" customWidth="1"/>
    <col min="4109" max="4109" width="8.23046875" style="1" customWidth="1"/>
    <col min="4110" max="4110" width="1.765625" style="1" customWidth="1"/>
    <col min="4111" max="4111" width="11.07421875" style="1" customWidth="1"/>
    <col min="4112" max="4112" width="11" style="1" customWidth="1"/>
    <col min="4113" max="4113" width="12.07421875" style="1" customWidth="1"/>
    <col min="4114" max="4114" width="7.765625" style="1" customWidth="1"/>
    <col min="4115" max="4115" width="14.4609375" style="1" customWidth="1"/>
    <col min="4116" max="4358" width="9.765625" style="1"/>
    <col min="4359" max="4359" width="22.4609375" style="1" customWidth="1"/>
    <col min="4360" max="4360" width="12.4609375" style="1" customWidth="1"/>
    <col min="4361" max="4361" width="8.765625" style="1" customWidth="1"/>
    <col min="4362" max="4362" width="20.765625" style="1" customWidth="1"/>
    <col min="4363" max="4363" width="18" style="1" customWidth="1"/>
    <col min="4364" max="4364" width="13.07421875" style="1" customWidth="1"/>
    <col min="4365" max="4365" width="8.23046875" style="1" customWidth="1"/>
    <col min="4366" max="4366" width="1.765625" style="1" customWidth="1"/>
    <col min="4367" max="4367" width="11.07421875" style="1" customWidth="1"/>
    <col min="4368" max="4368" width="11" style="1" customWidth="1"/>
    <col min="4369" max="4369" width="12.07421875" style="1" customWidth="1"/>
    <col min="4370" max="4370" width="7.765625" style="1" customWidth="1"/>
    <col min="4371" max="4371" width="14.4609375" style="1" customWidth="1"/>
    <col min="4372" max="4614" width="9.765625" style="1"/>
    <col min="4615" max="4615" width="22.4609375" style="1" customWidth="1"/>
    <col min="4616" max="4616" width="12.4609375" style="1" customWidth="1"/>
    <col min="4617" max="4617" width="8.765625" style="1" customWidth="1"/>
    <col min="4618" max="4618" width="20.765625" style="1" customWidth="1"/>
    <col min="4619" max="4619" width="18" style="1" customWidth="1"/>
    <col min="4620" max="4620" width="13.07421875" style="1" customWidth="1"/>
    <col min="4621" max="4621" width="8.23046875" style="1" customWidth="1"/>
    <col min="4622" max="4622" width="1.765625" style="1" customWidth="1"/>
    <col min="4623" max="4623" width="11.07421875" style="1" customWidth="1"/>
    <col min="4624" max="4624" width="11" style="1" customWidth="1"/>
    <col min="4625" max="4625" width="12.07421875" style="1" customWidth="1"/>
    <col min="4626" max="4626" width="7.765625" style="1" customWidth="1"/>
    <col min="4627" max="4627" width="14.4609375" style="1" customWidth="1"/>
    <col min="4628" max="4870" width="9.765625" style="1"/>
    <col min="4871" max="4871" width="22.4609375" style="1" customWidth="1"/>
    <col min="4872" max="4872" width="12.4609375" style="1" customWidth="1"/>
    <col min="4873" max="4873" width="8.765625" style="1" customWidth="1"/>
    <col min="4874" max="4874" width="20.765625" style="1" customWidth="1"/>
    <col min="4875" max="4875" width="18" style="1" customWidth="1"/>
    <col min="4876" max="4876" width="13.07421875" style="1" customWidth="1"/>
    <col min="4877" max="4877" width="8.23046875" style="1" customWidth="1"/>
    <col min="4878" max="4878" width="1.765625" style="1" customWidth="1"/>
    <col min="4879" max="4879" width="11.07421875" style="1" customWidth="1"/>
    <col min="4880" max="4880" width="11" style="1" customWidth="1"/>
    <col min="4881" max="4881" width="12.07421875" style="1" customWidth="1"/>
    <col min="4882" max="4882" width="7.765625" style="1" customWidth="1"/>
    <col min="4883" max="4883" width="14.4609375" style="1" customWidth="1"/>
    <col min="4884" max="5126" width="9.765625" style="1"/>
    <col min="5127" max="5127" width="22.4609375" style="1" customWidth="1"/>
    <col min="5128" max="5128" width="12.4609375" style="1" customWidth="1"/>
    <col min="5129" max="5129" width="8.765625" style="1" customWidth="1"/>
    <col min="5130" max="5130" width="20.765625" style="1" customWidth="1"/>
    <col min="5131" max="5131" width="18" style="1" customWidth="1"/>
    <col min="5132" max="5132" width="13.07421875" style="1" customWidth="1"/>
    <col min="5133" max="5133" width="8.23046875" style="1" customWidth="1"/>
    <col min="5134" max="5134" width="1.765625" style="1" customWidth="1"/>
    <col min="5135" max="5135" width="11.07421875" style="1" customWidth="1"/>
    <col min="5136" max="5136" width="11" style="1" customWidth="1"/>
    <col min="5137" max="5137" width="12.07421875" style="1" customWidth="1"/>
    <col min="5138" max="5138" width="7.765625" style="1" customWidth="1"/>
    <col min="5139" max="5139" width="14.4609375" style="1" customWidth="1"/>
    <col min="5140" max="5382" width="9.765625" style="1"/>
    <col min="5383" max="5383" width="22.4609375" style="1" customWidth="1"/>
    <col min="5384" max="5384" width="12.4609375" style="1" customWidth="1"/>
    <col min="5385" max="5385" width="8.765625" style="1" customWidth="1"/>
    <col min="5386" max="5386" width="20.765625" style="1" customWidth="1"/>
    <col min="5387" max="5387" width="18" style="1" customWidth="1"/>
    <col min="5388" max="5388" width="13.07421875" style="1" customWidth="1"/>
    <col min="5389" max="5389" width="8.23046875" style="1" customWidth="1"/>
    <col min="5390" max="5390" width="1.765625" style="1" customWidth="1"/>
    <col min="5391" max="5391" width="11.07421875" style="1" customWidth="1"/>
    <col min="5392" max="5392" width="11" style="1" customWidth="1"/>
    <col min="5393" max="5393" width="12.07421875" style="1" customWidth="1"/>
    <col min="5394" max="5394" width="7.765625" style="1" customWidth="1"/>
    <col min="5395" max="5395" width="14.4609375" style="1" customWidth="1"/>
    <col min="5396" max="5638" width="9.765625" style="1"/>
    <col min="5639" max="5639" width="22.4609375" style="1" customWidth="1"/>
    <col min="5640" max="5640" width="12.4609375" style="1" customWidth="1"/>
    <col min="5641" max="5641" width="8.765625" style="1" customWidth="1"/>
    <col min="5642" max="5642" width="20.765625" style="1" customWidth="1"/>
    <col min="5643" max="5643" width="18" style="1" customWidth="1"/>
    <col min="5644" max="5644" width="13.07421875" style="1" customWidth="1"/>
    <col min="5645" max="5645" width="8.23046875" style="1" customWidth="1"/>
    <col min="5646" max="5646" width="1.765625" style="1" customWidth="1"/>
    <col min="5647" max="5647" width="11.07421875" style="1" customWidth="1"/>
    <col min="5648" max="5648" width="11" style="1" customWidth="1"/>
    <col min="5649" max="5649" width="12.07421875" style="1" customWidth="1"/>
    <col min="5650" max="5650" width="7.765625" style="1" customWidth="1"/>
    <col min="5651" max="5651" width="14.4609375" style="1" customWidth="1"/>
    <col min="5652" max="5894" width="9.765625" style="1"/>
    <col min="5895" max="5895" width="22.4609375" style="1" customWidth="1"/>
    <col min="5896" max="5896" width="12.4609375" style="1" customWidth="1"/>
    <col min="5897" max="5897" width="8.765625" style="1" customWidth="1"/>
    <col min="5898" max="5898" width="20.765625" style="1" customWidth="1"/>
    <col min="5899" max="5899" width="18" style="1" customWidth="1"/>
    <col min="5900" max="5900" width="13.07421875" style="1" customWidth="1"/>
    <col min="5901" max="5901" width="8.23046875" style="1" customWidth="1"/>
    <col min="5902" max="5902" width="1.765625" style="1" customWidth="1"/>
    <col min="5903" max="5903" width="11.07421875" style="1" customWidth="1"/>
    <col min="5904" max="5904" width="11" style="1" customWidth="1"/>
    <col min="5905" max="5905" width="12.07421875" style="1" customWidth="1"/>
    <col min="5906" max="5906" width="7.765625" style="1" customWidth="1"/>
    <col min="5907" max="5907" width="14.4609375" style="1" customWidth="1"/>
    <col min="5908" max="6150" width="9.765625" style="1"/>
    <col min="6151" max="6151" width="22.4609375" style="1" customWidth="1"/>
    <col min="6152" max="6152" width="12.4609375" style="1" customWidth="1"/>
    <col min="6153" max="6153" width="8.765625" style="1" customWidth="1"/>
    <col min="6154" max="6154" width="20.765625" style="1" customWidth="1"/>
    <col min="6155" max="6155" width="18" style="1" customWidth="1"/>
    <col min="6156" max="6156" width="13.07421875" style="1" customWidth="1"/>
    <col min="6157" max="6157" width="8.23046875" style="1" customWidth="1"/>
    <col min="6158" max="6158" width="1.765625" style="1" customWidth="1"/>
    <col min="6159" max="6159" width="11.07421875" style="1" customWidth="1"/>
    <col min="6160" max="6160" width="11" style="1" customWidth="1"/>
    <col min="6161" max="6161" width="12.07421875" style="1" customWidth="1"/>
    <col min="6162" max="6162" width="7.765625" style="1" customWidth="1"/>
    <col min="6163" max="6163" width="14.4609375" style="1" customWidth="1"/>
    <col min="6164" max="6406" width="9.765625" style="1"/>
    <col min="6407" max="6407" width="22.4609375" style="1" customWidth="1"/>
    <col min="6408" max="6408" width="12.4609375" style="1" customWidth="1"/>
    <col min="6409" max="6409" width="8.765625" style="1" customWidth="1"/>
    <col min="6410" max="6410" width="20.765625" style="1" customWidth="1"/>
    <col min="6411" max="6411" width="18" style="1" customWidth="1"/>
    <col min="6412" max="6412" width="13.07421875" style="1" customWidth="1"/>
    <col min="6413" max="6413" width="8.23046875" style="1" customWidth="1"/>
    <col min="6414" max="6414" width="1.765625" style="1" customWidth="1"/>
    <col min="6415" max="6415" width="11.07421875" style="1" customWidth="1"/>
    <col min="6416" max="6416" width="11" style="1" customWidth="1"/>
    <col min="6417" max="6417" width="12.07421875" style="1" customWidth="1"/>
    <col min="6418" max="6418" width="7.765625" style="1" customWidth="1"/>
    <col min="6419" max="6419" width="14.4609375" style="1" customWidth="1"/>
    <col min="6420" max="6662" width="9.765625" style="1"/>
    <col min="6663" max="6663" width="22.4609375" style="1" customWidth="1"/>
    <col min="6664" max="6664" width="12.4609375" style="1" customWidth="1"/>
    <col min="6665" max="6665" width="8.765625" style="1" customWidth="1"/>
    <col min="6666" max="6666" width="20.765625" style="1" customWidth="1"/>
    <col min="6667" max="6667" width="18" style="1" customWidth="1"/>
    <col min="6668" max="6668" width="13.07421875" style="1" customWidth="1"/>
    <col min="6669" max="6669" width="8.23046875" style="1" customWidth="1"/>
    <col min="6670" max="6670" width="1.765625" style="1" customWidth="1"/>
    <col min="6671" max="6671" width="11.07421875" style="1" customWidth="1"/>
    <col min="6672" max="6672" width="11" style="1" customWidth="1"/>
    <col min="6673" max="6673" width="12.07421875" style="1" customWidth="1"/>
    <col min="6674" max="6674" width="7.765625" style="1" customWidth="1"/>
    <col min="6675" max="6675" width="14.4609375" style="1" customWidth="1"/>
    <col min="6676" max="6918" width="9.765625" style="1"/>
    <col min="6919" max="6919" width="22.4609375" style="1" customWidth="1"/>
    <col min="6920" max="6920" width="12.4609375" style="1" customWidth="1"/>
    <col min="6921" max="6921" width="8.765625" style="1" customWidth="1"/>
    <col min="6922" max="6922" width="20.765625" style="1" customWidth="1"/>
    <col min="6923" max="6923" width="18" style="1" customWidth="1"/>
    <col min="6924" max="6924" width="13.07421875" style="1" customWidth="1"/>
    <col min="6925" max="6925" width="8.23046875" style="1" customWidth="1"/>
    <col min="6926" max="6926" width="1.765625" style="1" customWidth="1"/>
    <col min="6927" max="6927" width="11.07421875" style="1" customWidth="1"/>
    <col min="6928" max="6928" width="11" style="1" customWidth="1"/>
    <col min="6929" max="6929" width="12.07421875" style="1" customWidth="1"/>
    <col min="6930" max="6930" width="7.765625" style="1" customWidth="1"/>
    <col min="6931" max="6931" width="14.4609375" style="1" customWidth="1"/>
    <col min="6932" max="7174" width="9.765625" style="1"/>
    <col min="7175" max="7175" width="22.4609375" style="1" customWidth="1"/>
    <col min="7176" max="7176" width="12.4609375" style="1" customWidth="1"/>
    <col min="7177" max="7177" width="8.765625" style="1" customWidth="1"/>
    <col min="7178" max="7178" width="20.765625" style="1" customWidth="1"/>
    <col min="7179" max="7179" width="18" style="1" customWidth="1"/>
    <col min="7180" max="7180" width="13.07421875" style="1" customWidth="1"/>
    <col min="7181" max="7181" width="8.23046875" style="1" customWidth="1"/>
    <col min="7182" max="7182" width="1.765625" style="1" customWidth="1"/>
    <col min="7183" max="7183" width="11.07421875" style="1" customWidth="1"/>
    <col min="7184" max="7184" width="11" style="1" customWidth="1"/>
    <col min="7185" max="7185" width="12.07421875" style="1" customWidth="1"/>
    <col min="7186" max="7186" width="7.765625" style="1" customWidth="1"/>
    <col min="7187" max="7187" width="14.4609375" style="1" customWidth="1"/>
    <col min="7188" max="7430" width="9.765625" style="1"/>
    <col min="7431" max="7431" width="22.4609375" style="1" customWidth="1"/>
    <col min="7432" max="7432" width="12.4609375" style="1" customWidth="1"/>
    <col min="7433" max="7433" width="8.765625" style="1" customWidth="1"/>
    <col min="7434" max="7434" width="20.765625" style="1" customWidth="1"/>
    <col min="7435" max="7435" width="18" style="1" customWidth="1"/>
    <col min="7436" max="7436" width="13.07421875" style="1" customWidth="1"/>
    <col min="7437" max="7437" width="8.23046875" style="1" customWidth="1"/>
    <col min="7438" max="7438" width="1.765625" style="1" customWidth="1"/>
    <col min="7439" max="7439" width="11.07421875" style="1" customWidth="1"/>
    <col min="7440" max="7440" width="11" style="1" customWidth="1"/>
    <col min="7441" max="7441" width="12.07421875" style="1" customWidth="1"/>
    <col min="7442" max="7442" width="7.765625" style="1" customWidth="1"/>
    <col min="7443" max="7443" width="14.4609375" style="1" customWidth="1"/>
    <col min="7444" max="7686" width="9.765625" style="1"/>
    <col min="7687" max="7687" width="22.4609375" style="1" customWidth="1"/>
    <col min="7688" max="7688" width="12.4609375" style="1" customWidth="1"/>
    <col min="7689" max="7689" width="8.765625" style="1" customWidth="1"/>
    <col min="7690" max="7690" width="20.765625" style="1" customWidth="1"/>
    <col min="7691" max="7691" width="18" style="1" customWidth="1"/>
    <col min="7692" max="7692" width="13.07421875" style="1" customWidth="1"/>
    <col min="7693" max="7693" width="8.23046875" style="1" customWidth="1"/>
    <col min="7694" max="7694" width="1.765625" style="1" customWidth="1"/>
    <col min="7695" max="7695" width="11.07421875" style="1" customWidth="1"/>
    <col min="7696" max="7696" width="11" style="1" customWidth="1"/>
    <col min="7697" max="7697" width="12.07421875" style="1" customWidth="1"/>
    <col min="7698" max="7698" width="7.765625" style="1" customWidth="1"/>
    <col min="7699" max="7699" width="14.4609375" style="1" customWidth="1"/>
    <col min="7700" max="7942" width="9.765625" style="1"/>
    <col min="7943" max="7943" width="22.4609375" style="1" customWidth="1"/>
    <col min="7944" max="7944" width="12.4609375" style="1" customWidth="1"/>
    <col min="7945" max="7945" width="8.765625" style="1" customWidth="1"/>
    <col min="7946" max="7946" width="20.765625" style="1" customWidth="1"/>
    <col min="7947" max="7947" width="18" style="1" customWidth="1"/>
    <col min="7948" max="7948" width="13.07421875" style="1" customWidth="1"/>
    <col min="7949" max="7949" width="8.23046875" style="1" customWidth="1"/>
    <col min="7950" max="7950" width="1.765625" style="1" customWidth="1"/>
    <col min="7951" max="7951" width="11.07421875" style="1" customWidth="1"/>
    <col min="7952" max="7952" width="11" style="1" customWidth="1"/>
    <col min="7953" max="7953" width="12.07421875" style="1" customWidth="1"/>
    <col min="7954" max="7954" width="7.765625" style="1" customWidth="1"/>
    <col min="7955" max="7955" width="14.4609375" style="1" customWidth="1"/>
    <col min="7956" max="8198" width="9.765625" style="1"/>
    <col min="8199" max="8199" width="22.4609375" style="1" customWidth="1"/>
    <col min="8200" max="8200" width="12.4609375" style="1" customWidth="1"/>
    <col min="8201" max="8201" width="8.765625" style="1" customWidth="1"/>
    <col min="8202" max="8202" width="20.765625" style="1" customWidth="1"/>
    <col min="8203" max="8203" width="18" style="1" customWidth="1"/>
    <col min="8204" max="8204" width="13.07421875" style="1" customWidth="1"/>
    <col min="8205" max="8205" width="8.23046875" style="1" customWidth="1"/>
    <col min="8206" max="8206" width="1.765625" style="1" customWidth="1"/>
    <col min="8207" max="8207" width="11.07421875" style="1" customWidth="1"/>
    <col min="8208" max="8208" width="11" style="1" customWidth="1"/>
    <col min="8209" max="8209" width="12.07421875" style="1" customWidth="1"/>
    <col min="8210" max="8210" width="7.765625" style="1" customWidth="1"/>
    <col min="8211" max="8211" width="14.4609375" style="1" customWidth="1"/>
    <col min="8212" max="8454" width="9.765625" style="1"/>
    <col min="8455" max="8455" width="22.4609375" style="1" customWidth="1"/>
    <col min="8456" max="8456" width="12.4609375" style="1" customWidth="1"/>
    <col min="8457" max="8457" width="8.765625" style="1" customWidth="1"/>
    <col min="8458" max="8458" width="20.765625" style="1" customWidth="1"/>
    <col min="8459" max="8459" width="18" style="1" customWidth="1"/>
    <col min="8460" max="8460" width="13.07421875" style="1" customWidth="1"/>
    <col min="8461" max="8461" width="8.23046875" style="1" customWidth="1"/>
    <col min="8462" max="8462" width="1.765625" style="1" customWidth="1"/>
    <col min="8463" max="8463" width="11.07421875" style="1" customWidth="1"/>
    <col min="8464" max="8464" width="11" style="1" customWidth="1"/>
    <col min="8465" max="8465" width="12.07421875" style="1" customWidth="1"/>
    <col min="8466" max="8466" width="7.765625" style="1" customWidth="1"/>
    <col min="8467" max="8467" width="14.4609375" style="1" customWidth="1"/>
    <col min="8468" max="8710" width="9.765625" style="1"/>
    <col min="8711" max="8711" width="22.4609375" style="1" customWidth="1"/>
    <col min="8712" max="8712" width="12.4609375" style="1" customWidth="1"/>
    <col min="8713" max="8713" width="8.765625" style="1" customWidth="1"/>
    <col min="8714" max="8714" width="20.765625" style="1" customWidth="1"/>
    <col min="8715" max="8715" width="18" style="1" customWidth="1"/>
    <col min="8716" max="8716" width="13.07421875" style="1" customWidth="1"/>
    <col min="8717" max="8717" width="8.23046875" style="1" customWidth="1"/>
    <col min="8718" max="8718" width="1.765625" style="1" customWidth="1"/>
    <col min="8719" max="8719" width="11.07421875" style="1" customWidth="1"/>
    <col min="8720" max="8720" width="11" style="1" customWidth="1"/>
    <col min="8721" max="8721" width="12.07421875" style="1" customWidth="1"/>
    <col min="8722" max="8722" width="7.765625" style="1" customWidth="1"/>
    <col min="8723" max="8723" width="14.4609375" style="1" customWidth="1"/>
    <col min="8724" max="8966" width="9.765625" style="1"/>
    <col min="8967" max="8967" width="22.4609375" style="1" customWidth="1"/>
    <col min="8968" max="8968" width="12.4609375" style="1" customWidth="1"/>
    <col min="8969" max="8969" width="8.765625" style="1" customWidth="1"/>
    <col min="8970" max="8970" width="20.765625" style="1" customWidth="1"/>
    <col min="8971" max="8971" width="18" style="1" customWidth="1"/>
    <col min="8972" max="8972" width="13.07421875" style="1" customWidth="1"/>
    <col min="8973" max="8973" width="8.23046875" style="1" customWidth="1"/>
    <col min="8974" max="8974" width="1.765625" style="1" customWidth="1"/>
    <col min="8975" max="8975" width="11.07421875" style="1" customWidth="1"/>
    <col min="8976" max="8976" width="11" style="1" customWidth="1"/>
    <col min="8977" max="8977" width="12.07421875" style="1" customWidth="1"/>
    <col min="8978" max="8978" width="7.765625" style="1" customWidth="1"/>
    <col min="8979" max="8979" width="14.4609375" style="1" customWidth="1"/>
    <col min="8980" max="9222" width="9.765625" style="1"/>
    <col min="9223" max="9223" width="22.4609375" style="1" customWidth="1"/>
    <col min="9224" max="9224" width="12.4609375" style="1" customWidth="1"/>
    <col min="9225" max="9225" width="8.765625" style="1" customWidth="1"/>
    <col min="9226" max="9226" width="20.765625" style="1" customWidth="1"/>
    <col min="9227" max="9227" width="18" style="1" customWidth="1"/>
    <col min="9228" max="9228" width="13.07421875" style="1" customWidth="1"/>
    <col min="9229" max="9229" width="8.23046875" style="1" customWidth="1"/>
    <col min="9230" max="9230" width="1.765625" style="1" customWidth="1"/>
    <col min="9231" max="9231" width="11.07421875" style="1" customWidth="1"/>
    <col min="9232" max="9232" width="11" style="1" customWidth="1"/>
    <col min="9233" max="9233" width="12.07421875" style="1" customWidth="1"/>
    <col min="9234" max="9234" width="7.765625" style="1" customWidth="1"/>
    <col min="9235" max="9235" width="14.4609375" style="1" customWidth="1"/>
    <col min="9236" max="9478" width="9.765625" style="1"/>
    <col min="9479" max="9479" width="22.4609375" style="1" customWidth="1"/>
    <col min="9480" max="9480" width="12.4609375" style="1" customWidth="1"/>
    <col min="9481" max="9481" width="8.765625" style="1" customWidth="1"/>
    <col min="9482" max="9482" width="20.765625" style="1" customWidth="1"/>
    <col min="9483" max="9483" width="18" style="1" customWidth="1"/>
    <col min="9484" max="9484" width="13.07421875" style="1" customWidth="1"/>
    <col min="9485" max="9485" width="8.23046875" style="1" customWidth="1"/>
    <col min="9486" max="9486" width="1.765625" style="1" customWidth="1"/>
    <col min="9487" max="9487" width="11.07421875" style="1" customWidth="1"/>
    <col min="9488" max="9488" width="11" style="1" customWidth="1"/>
    <col min="9489" max="9489" width="12.07421875" style="1" customWidth="1"/>
    <col min="9490" max="9490" width="7.765625" style="1" customWidth="1"/>
    <col min="9491" max="9491" width="14.4609375" style="1" customWidth="1"/>
    <col min="9492" max="9734" width="9.765625" style="1"/>
    <col min="9735" max="9735" width="22.4609375" style="1" customWidth="1"/>
    <col min="9736" max="9736" width="12.4609375" style="1" customWidth="1"/>
    <col min="9737" max="9737" width="8.765625" style="1" customWidth="1"/>
    <col min="9738" max="9738" width="20.765625" style="1" customWidth="1"/>
    <col min="9739" max="9739" width="18" style="1" customWidth="1"/>
    <col min="9740" max="9740" width="13.07421875" style="1" customWidth="1"/>
    <col min="9741" max="9741" width="8.23046875" style="1" customWidth="1"/>
    <col min="9742" max="9742" width="1.765625" style="1" customWidth="1"/>
    <col min="9743" max="9743" width="11.07421875" style="1" customWidth="1"/>
    <col min="9744" max="9744" width="11" style="1" customWidth="1"/>
    <col min="9745" max="9745" width="12.07421875" style="1" customWidth="1"/>
    <col min="9746" max="9746" width="7.765625" style="1" customWidth="1"/>
    <col min="9747" max="9747" width="14.4609375" style="1" customWidth="1"/>
    <col min="9748" max="9990" width="9.765625" style="1"/>
    <col min="9991" max="9991" width="22.4609375" style="1" customWidth="1"/>
    <col min="9992" max="9992" width="12.4609375" style="1" customWidth="1"/>
    <col min="9993" max="9993" width="8.765625" style="1" customWidth="1"/>
    <col min="9994" max="9994" width="20.765625" style="1" customWidth="1"/>
    <col min="9995" max="9995" width="18" style="1" customWidth="1"/>
    <col min="9996" max="9996" width="13.07421875" style="1" customWidth="1"/>
    <col min="9997" max="9997" width="8.23046875" style="1" customWidth="1"/>
    <col min="9998" max="9998" width="1.765625" style="1" customWidth="1"/>
    <col min="9999" max="9999" width="11.07421875" style="1" customWidth="1"/>
    <col min="10000" max="10000" width="11" style="1" customWidth="1"/>
    <col min="10001" max="10001" width="12.07421875" style="1" customWidth="1"/>
    <col min="10002" max="10002" width="7.765625" style="1" customWidth="1"/>
    <col min="10003" max="10003" width="14.4609375" style="1" customWidth="1"/>
    <col min="10004" max="10246" width="9.765625" style="1"/>
    <col min="10247" max="10247" width="22.4609375" style="1" customWidth="1"/>
    <col min="10248" max="10248" width="12.4609375" style="1" customWidth="1"/>
    <col min="10249" max="10249" width="8.765625" style="1" customWidth="1"/>
    <col min="10250" max="10250" width="20.765625" style="1" customWidth="1"/>
    <col min="10251" max="10251" width="18" style="1" customWidth="1"/>
    <col min="10252" max="10252" width="13.07421875" style="1" customWidth="1"/>
    <col min="10253" max="10253" width="8.23046875" style="1" customWidth="1"/>
    <col min="10254" max="10254" width="1.765625" style="1" customWidth="1"/>
    <col min="10255" max="10255" width="11.07421875" style="1" customWidth="1"/>
    <col min="10256" max="10256" width="11" style="1" customWidth="1"/>
    <col min="10257" max="10257" width="12.07421875" style="1" customWidth="1"/>
    <col min="10258" max="10258" width="7.765625" style="1" customWidth="1"/>
    <col min="10259" max="10259" width="14.4609375" style="1" customWidth="1"/>
    <col min="10260" max="10502" width="9.765625" style="1"/>
    <col min="10503" max="10503" width="22.4609375" style="1" customWidth="1"/>
    <col min="10504" max="10504" width="12.4609375" style="1" customWidth="1"/>
    <col min="10505" max="10505" width="8.765625" style="1" customWidth="1"/>
    <col min="10506" max="10506" width="20.765625" style="1" customWidth="1"/>
    <col min="10507" max="10507" width="18" style="1" customWidth="1"/>
    <col min="10508" max="10508" width="13.07421875" style="1" customWidth="1"/>
    <col min="10509" max="10509" width="8.23046875" style="1" customWidth="1"/>
    <col min="10510" max="10510" width="1.765625" style="1" customWidth="1"/>
    <col min="10511" max="10511" width="11.07421875" style="1" customWidth="1"/>
    <col min="10512" max="10512" width="11" style="1" customWidth="1"/>
    <col min="10513" max="10513" width="12.07421875" style="1" customWidth="1"/>
    <col min="10514" max="10514" width="7.765625" style="1" customWidth="1"/>
    <col min="10515" max="10515" width="14.4609375" style="1" customWidth="1"/>
    <col min="10516" max="10758" width="9.765625" style="1"/>
    <col min="10759" max="10759" width="22.4609375" style="1" customWidth="1"/>
    <col min="10760" max="10760" width="12.4609375" style="1" customWidth="1"/>
    <col min="10761" max="10761" width="8.765625" style="1" customWidth="1"/>
    <col min="10762" max="10762" width="20.765625" style="1" customWidth="1"/>
    <col min="10763" max="10763" width="18" style="1" customWidth="1"/>
    <col min="10764" max="10764" width="13.07421875" style="1" customWidth="1"/>
    <col min="10765" max="10765" width="8.23046875" style="1" customWidth="1"/>
    <col min="10766" max="10766" width="1.765625" style="1" customWidth="1"/>
    <col min="10767" max="10767" width="11.07421875" style="1" customWidth="1"/>
    <col min="10768" max="10768" width="11" style="1" customWidth="1"/>
    <col min="10769" max="10769" width="12.07421875" style="1" customWidth="1"/>
    <col min="10770" max="10770" width="7.765625" style="1" customWidth="1"/>
    <col min="10771" max="10771" width="14.4609375" style="1" customWidth="1"/>
    <col min="10772" max="11014" width="9.765625" style="1"/>
    <col min="11015" max="11015" width="22.4609375" style="1" customWidth="1"/>
    <col min="11016" max="11016" width="12.4609375" style="1" customWidth="1"/>
    <col min="11017" max="11017" width="8.765625" style="1" customWidth="1"/>
    <col min="11018" max="11018" width="20.765625" style="1" customWidth="1"/>
    <col min="11019" max="11019" width="18" style="1" customWidth="1"/>
    <col min="11020" max="11020" width="13.07421875" style="1" customWidth="1"/>
    <col min="11021" max="11021" width="8.23046875" style="1" customWidth="1"/>
    <col min="11022" max="11022" width="1.765625" style="1" customWidth="1"/>
    <col min="11023" max="11023" width="11.07421875" style="1" customWidth="1"/>
    <col min="11024" max="11024" width="11" style="1" customWidth="1"/>
    <col min="11025" max="11025" width="12.07421875" style="1" customWidth="1"/>
    <col min="11026" max="11026" width="7.765625" style="1" customWidth="1"/>
    <col min="11027" max="11027" width="14.4609375" style="1" customWidth="1"/>
    <col min="11028" max="11270" width="9.765625" style="1"/>
    <col min="11271" max="11271" width="22.4609375" style="1" customWidth="1"/>
    <col min="11272" max="11272" width="12.4609375" style="1" customWidth="1"/>
    <col min="11273" max="11273" width="8.765625" style="1" customWidth="1"/>
    <col min="11274" max="11274" width="20.765625" style="1" customWidth="1"/>
    <col min="11275" max="11275" width="18" style="1" customWidth="1"/>
    <col min="11276" max="11276" width="13.07421875" style="1" customWidth="1"/>
    <col min="11277" max="11277" width="8.23046875" style="1" customWidth="1"/>
    <col min="11278" max="11278" width="1.765625" style="1" customWidth="1"/>
    <col min="11279" max="11279" width="11.07421875" style="1" customWidth="1"/>
    <col min="11280" max="11280" width="11" style="1" customWidth="1"/>
    <col min="11281" max="11281" width="12.07421875" style="1" customWidth="1"/>
    <col min="11282" max="11282" width="7.765625" style="1" customWidth="1"/>
    <col min="11283" max="11283" width="14.4609375" style="1" customWidth="1"/>
    <col min="11284" max="11526" width="9.765625" style="1"/>
    <col min="11527" max="11527" width="22.4609375" style="1" customWidth="1"/>
    <col min="11528" max="11528" width="12.4609375" style="1" customWidth="1"/>
    <col min="11529" max="11529" width="8.765625" style="1" customWidth="1"/>
    <col min="11530" max="11530" width="20.765625" style="1" customWidth="1"/>
    <col min="11531" max="11531" width="18" style="1" customWidth="1"/>
    <col min="11532" max="11532" width="13.07421875" style="1" customWidth="1"/>
    <col min="11533" max="11533" width="8.23046875" style="1" customWidth="1"/>
    <col min="11534" max="11534" width="1.765625" style="1" customWidth="1"/>
    <col min="11535" max="11535" width="11.07421875" style="1" customWidth="1"/>
    <col min="11536" max="11536" width="11" style="1" customWidth="1"/>
    <col min="11537" max="11537" width="12.07421875" style="1" customWidth="1"/>
    <col min="11538" max="11538" width="7.765625" style="1" customWidth="1"/>
    <col min="11539" max="11539" width="14.4609375" style="1" customWidth="1"/>
    <col min="11540" max="11782" width="9.765625" style="1"/>
    <col min="11783" max="11783" width="22.4609375" style="1" customWidth="1"/>
    <col min="11784" max="11784" width="12.4609375" style="1" customWidth="1"/>
    <col min="11785" max="11785" width="8.765625" style="1" customWidth="1"/>
    <col min="11786" max="11786" width="20.765625" style="1" customWidth="1"/>
    <col min="11787" max="11787" width="18" style="1" customWidth="1"/>
    <col min="11788" max="11788" width="13.07421875" style="1" customWidth="1"/>
    <col min="11789" max="11789" width="8.23046875" style="1" customWidth="1"/>
    <col min="11790" max="11790" width="1.765625" style="1" customWidth="1"/>
    <col min="11791" max="11791" width="11.07421875" style="1" customWidth="1"/>
    <col min="11792" max="11792" width="11" style="1" customWidth="1"/>
    <col min="11793" max="11793" width="12.07421875" style="1" customWidth="1"/>
    <col min="11794" max="11794" width="7.765625" style="1" customWidth="1"/>
    <col min="11795" max="11795" width="14.4609375" style="1" customWidth="1"/>
    <col min="11796" max="12038" width="9.765625" style="1"/>
    <col min="12039" max="12039" width="22.4609375" style="1" customWidth="1"/>
    <col min="12040" max="12040" width="12.4609375" style="1" customWidth="1"/>
    <col min="12041" max="12041" width="8.765625" style="1" customWidth="1"/>
    <col min="12042" max="12042" width="20.765625" style="1" customWidth="1"/>
    <col min="12043" max="12043" width="18" style="1" customWidth="1"/>
    <col min="12044" max="12044" width="13.07421875" style="1" customWidth="1"/>
    <col min="12045" max="12045" width="8.23046875" style="1" customWidth="1"/>
    <col min="12046" max="12046" width="1.765625" style="1" customWidth="1"/>
    <col min="12047" max="12047" width="11.07421875" style="1" customWidth="1"/>
    <col min="12048" max="12048" width="11" style="1" customWidth="1"/>
    <col min="12049" max="12049" width="12.07421875" style="1" customWidth="1"/>
    <col min="12050" max="12050" width="7.765625" style="1" customWidth="1"/>
    <col min="12051" max="12051" width="14.4609375" style="1" customWidth="1"/>
    <col min="12052" max="12294" width="9.765625" style="1"/>
    <col min="12295" max="12295" width="22.4609375" style="1" customWidth="1"/>
    <col min="12296" max="12296" width="12.4609375" style="1" customWidth="1"/>
    <col min="12297" max="12297" width="8.765625" style="1" customWidth="1"/>
    <col min="12298" max="12298" width="20.765625" style="1" customWidth="1"/>
    <col min="12299" max="12299" width="18" style="1" customWidth="1"/>
    <col min="12300" max="12300" width="13.07421875" style="1" customWidth="1"/>
    <col min="12301" max="12301" width="8.23046875" style="1" customWidth="1"/>
    <col min="12302" max="12302" width="1.765625" style="1" customWidth="1"/>
    <col min="12303" max="12303" width="11.07421875" style="1" customWidth="1"/>
    <col min="12304" max="12304" width="11" style="1" customWidth="1"/>
    <col min="12305" max="12305" width="12.07421875" style="1" customWidth="1"/>
    <col min="12306" max="12306" width="7.765625" style="1" customWidth="1"/>
    <col min="12307" max="12307" width="14.4609375" style="1" customWidth="1"/>
    <col min="12308" max="12550" width="9.765625" style="1"/>
    <col min="12551" max="12551" width="22.4609375" style="1" customWidth="1"/>
    <col min="12552" max="12552" width="12.4609375" style="1" customWidth="1"/>
    <col min="12553" max="12553" width="8.765625" style="1" customWidth="1"/>
    <col min="12554" max="12554" width="20.765625" style="1" customWidth="1"/>
    <col min="12555" max="12555" width="18" style="1" customWidth="1"/>
    <col min="12556" max="12556" width="13.07421875" style="1" customWidth="1"/>
    <col min="12557" max="12557" width="8.23046875" style="1" customWidth="1"/>
    <col min="12558" max="12558" width="1.765625" style="1" customWidth="1"/>
    <col min="12559" max="12559" width="11.07421875" style="1" customWidth="1"/>
    <col min="12560" max="12560" width="11" style="1" customWidth="1"/>
    <col min="12561" max="12561" width="12.07421875" style="1" customWidth="1"/>
    <col min="12562" max="12562" width="7.765625" style="1" customWidth="1"/>
    <col min="12563" max="12563" width="14.4609375" style="1" customWidth="1"/>
    <col min="12564" max="12806" width="9.765625" style="1"/>
    <col min="12807" max="12807" width="22.4609375" style="1" customWidth="1"/>
    <col min="12808" max="12808" width="12.4609375" style="1" customWidth="1"/>
    <col min="12809" max="12809" width="8.765625" style="1" customWidth="1"/>
    <col min="12810" max="12810" width="20.765625" style="1" customWidth="1"/>
    <col min="12811" max="12811" width="18" style="1" customWidth="1"/>
    <col min="12812" max="12812" width="13.07421875" style="1" customWidth="1"/>
    <col min="12813" max="12813" width="8.23046875" style="1" customWidth="1"/>
    <col min="12814" max="12814" width="1.765625" style="1" customWidth="1"/>
    <col min="12815" max="12815" width="11.07421875" style="1" customWidth="1"/>
    <col min="12816" max="12816" width="11" style="1" customWidth="1"/>
    <col min="12817" max="12817" width="12.07421875" style="1" customWidth="1"/>
    <col min="12818" max="12818" width="7.765625" style="1" customWidth="1"/>
    <col min="12819" max="12819" width="14.4609375" style="1" customWidth="1"/>
    <col min="12820" max="13062" width="9.765625" style="1"/>
    <col min="13063" max="13063" width="22.4609375" style="1" customWidth="1"/>
    <col min="13064" max="13064" width="12.4609375" style="1" customWidth="1"/>
    <col min="13065" max="13065" width="8.765625" style="1" customWidth="1"/>
    <col min="13066" max="13066" width="20.765625" style="1" customWidth="1"/>
    <col min="13067" max="13067" width="18" style="1" customWidth="1"/>
    <col min="13068" max="13068" width="13.07421875" style="1" customWidth="1"/>
    <col min="13069" max="13069" width="8.23046875" style="1" customWidth="1"/>
    <col min="13070" max="13070" width="1.765625" style="1" customWidth="1"/>
    <col min="13071" max="13071" width="11.07421875" style="1" customWidth="1"/>
    <col min="13072" max="13072" width="11" style="1" customWidth="1"/>
    <col min="13073" max="13073" width="12.07421875" style="1" customWidth="1"/>
    <col min="13074" max="13074" width="7.765625" style="1" customWidth="1"/>
    <col min="13075" max="13075" width="14.4609375" style="1" customWidth="1"/>
    <col min="13076" max="13318" width="9.765625" style="1"/>
    <col min="13319" max="13319" width="22.4609375" style="1" customWidth="1"/>
    <col min="13320" max="13320" width="12.4609375" style="1" customWidth="1"/>
    <col min="13321" max="13321" width="8.765625" style="1" customWidth="1"/>
    <col min="13322" max="13322" width="20.765625" style="1" customWidth="1"/>
    <col min="13323" max="13323" width="18" style="1" customWidth="1"/>
    <col min="13324" max="13324" width="13.07421875" style="1" customWidth="1"/>
    <col min="13325" max="13325" width="8.23046875" style="1" customWidth="1"/>
    <col min="13326" max="13326" width="1.765625" style="1" customWidth="1"/>
    <col min="13327" max="13327" width="11.07421875" style="1" customWidth="1"/>
    <col min="13328" max="13328" width="11" style="1" customWidth="1"/>
    <col min="13329" max="13329" width="12.07421875" style="1" customWidth="1"/>
    <col min="13330" max="13330" width="7.765625" style="1" customWidth="1"/>
    <col min="13331" max="13331" width="14.4609375" style="1" customWidth="1"/>
    <col min="13332" max="13574" width="9.765625" style="1"/>
    <col min="13575" max="13575" width="22.4609375" style="1" customWidth="1"/>
    <col min="13576" max="13576" width="12.4609375" style="1" customWidth="1"/>
    <col min="13577" max="13577" width="8.765625" style="1" customWidth="1"/>
    <col min="13578" max="13578" width="20.765625" style="1" customWidth="1"/>
    <col min="13579" max="13579" width="18" style="1" customWidth="1"/>
    <col min="13580" max="13580" width="13.07421875" style="1" customWidth="1"/>
    <col min="13581" max="13581" width="8.23046875" style="1" customWidth="1"/>
    <col min="13582" max="13582" width="1.765625" style="1" customWidth="1"/>
    <col min="13583" max="13583" width="11.07421875" style="1" customWidth="1"/>
    <col min="13584" max="13584" width="11" style="1" customWidth="1"/>
    <col min="13585" max="13585" width="12.07421875" style="1" customWidth="1"/>
    <col min="13586" max="13586" width="7.765625" style="1" customWidth="1"/>
    <col min="13587" max="13587" width="14.4609375" style="1" customWidth="1"/>
    <col min="13588" max="13830" width="9.765625" style="1"/>
    <col min="13831" max="13831" width="22.4609375" style="1" customWidth="1"/>
    <col min="13832" max="13832" width="12.4609375" style="1" customWidth="1"/>
    <col min="13833" max="13833" width="8.765625" style="1" customWidth="1"/>
    <col min="13834" max="13834" width="20.765625" style="1" customWidth="1"/>
    <col min="13835" max="13835" width="18" style="1" customWidth="1"/>
    <col min="13836" max="13836" width="13.07421875" style="1" customWidth="1"/>
    <col min="13837" max="13837" width="8.23046875" style="1" customWidth="1"/>
    <col min="13838" max="13838" width="1.765625" style="1" customWidth="1"/>
    <col min="13839" max="13839" width="11.07421875" style="1" customWidth="1"/>
    <col min="13840" max="13840" width="11" style="1" customWidth="1"/>
    <col min="13841" max="13841" width="12.07421875" style="1" customWidth="1"/>
    <col min="13842" max="13842" width="7.765625" style="1" customWidth="1"/>
    <col min="13843" max="13843" width="14.4609375" style="1" customWidth="1"/>
    <col min="13844" max="14086" width="9.765625" style="1"/>
    <col min="14087" max="14087" width="22.4609375" style="1" customWidth="1"/>
    <col min="14088" max="14088" width="12.4609375" style="1" customWidth="1"/>
    <col min="14089" max="14089" width="8.765625" style="1" customWidth="1"/>
    <col min="14090" max="14090" width="20.765625" style="1" customWidth="1"/>
    <col min="14091" max="14091" width="18" style="1" customWidth="1"/>
    <col min="14092" max="14092" width="13.07421875" style="1" customWidth="1"/>
    <col min="14093" max="14093" width="8.23046875" style="1" customWidth="1"/>
    <col min="14094" max="14094" width="1.765625" style="1" customWidth="1"/>
    <col min="14095" max="14095" width="11.07421875" style="1" customWidth="1"/>
    <col min="14096" max="14096" width="11" style="1" customWidth="1"/>
    <col min="14097" max="14097" width="12.07421875" style="1" customWidth="1"/>
    <col min="14098" max="14098" width="7.765625" style="1" customWidth="1"/>
    <col min="14099" max="14099" width="14.4609375" style="1" customWidth="1"/>
    <col min="14100" max="14342" width="9.765625" style="1"/>
    <col min="14343" max="14343" width="22.4609375" style="1" customWidth="1"/>
    <col min="14344" max="14344" width="12.4609375" style="1" customWidth="1"/>
    <col min="14345" max="14345" width="8.765625" style="1" customWidth="1"/>
    <col min="14346" max="14346" width="20.765625" style="1" customWidth="1"/>
    <col min="14347" max="14347" width="18" style="1" customWidth="1"/>
    <col min="14348" max="14348" width="13.07421875" style="1" customWidth="1"/>
    <col min="14349" max="14349" width="8.23046875" style="1" customWidth="1"/>
    <col min="14350" max="14350" width="1.765625" style="1" customWidth="1"/>
    <col min="14351" max="14351" width="11.07421875" style="1" customWidth="1"/>
    <col min="14352" max="14352" width="11" style="1" customWidth="1"/>
    <col min="14353" max="14353" width="12.07421875" style="1" customWidth="1"/>
    <col min="14354" max="14354" width="7.765625" style="1" customWidth="1"/>
    <col min="14355" max="14355" width="14.4609375" style="1" customWidth="1"/>
    <col min="14356" max="14598" width="9.765625" style="1"/>
    <col min="14599" max="14599" width="22.4609375" style="1" customWidth="1"/>
    <col min="14600" max="14600" width="12.4609375" style="1" customWidth="1"/>
    <col min="14601" max="14601" width="8.765625" style="1" customWidth="1"/>
    <col min="14602" max="14602" width="20.765625" style="1" customWidth="1"/>
    <col min="14603" max="14603" width="18" style="1" customWidth="1"/>
    <col min="14604" max="14604" width="13.07421875" style="1" customWidth="1"/>
    <col min="14605" max="14605" width="8.23046875" style="1" customWidth="1"/>
    <col min="14606" max="14606" width="1.765625" style="1" customWidth="1"/>
    <col min="14607" max="14607" width="11.07421875" style="1" customWidth="1"/>
    <col min="14608" max="14608" width="11" style="1" customWidth="1"/>
    <col min="14609" max="14609" width="12.07421875" style="1" customWidth="1"/>
    <col min="14610" max="14610" width="7.765625" style="1" customWidth="1"/>
    <col min="14611" max="14611" width="14.4609375" style="1" customWidth="1"/>
    <col min="14612" max="14854" width="9.765625" style="1"/>
    <col min="14855" max="14855" width="22.4609375" style="1" customWidth="1"/>
    <col min="14856" max="14856" width="12.4609375" style="1" customWidth="1"/>
    <col min="14857" max="14857" width="8.765625" style="1" customWidth="1"/>
    <col min="14858" max="14858" width="20.765625" style="1" customWidth="1"/>
    <col min="14859" max="14859" width="18" style="1" customWidth="1"/>
    <col min="14860" max="14860" width="13.07421875" style="1" customWidth="1"/>
    <col min="14861" max="14861" width="8.23046875" style="1" customWidth="1"/>
    <col min="14862" max="14862" width="1.765625" style="1" customWidth="1"/>
    <col min="14863" max="14863" width="11.07421875" style="1" customWidth="1"/>
    <col min="14864" max="14864" width="11" style="1" customWidth="1"/>
    <col min="14865" max="14865" width="12.07421875" style="1" customWidth="1"/>
    <col min="14866" max="14866" width="7.765625" style="1" customWidth="1"/>
    <col min="14867" max="14867" width="14.4609375" style="1" customWidth="1"/>
    <col min="14868" max="15110" width="9.765625" style="1"/>
    <col min="15111" max="15111" width="22.4609375" style="1" customWidth="1"/>
    <col min="15112" max="15112" width="12.4609375" style="1" customWidth="1"/>
    <col min="15113" max="15113" width="8.765625" style="1" customWidth="1"/>
    <col min="15114" max="15114" width="20.765625" style="1" customWidth="1"/>
    <col min="15115" max="15115" width="18" style="1" customWidth="1"/>
    <col min="15116" max="15116" width="13.07421875" style="1" customWidth="1"/>
    <col min="15117" max="15117" width="8.23046875" style="1" customWidth="1"/>
    <col min="15118" max="15118" width="1.765625" style="1" customWidth="1"/>
    <col min="15119" max="15119" width="11.07421875" style="1" customWidth="1"/>
    <col min="15120" max="15120" width="11" style="1" customWidth="1"/>
    <col min="15121" max="15121" width="12.07421875" style="1" customWidth="1"/>
    <col min="15122" max="15122" width="7.765625" style="1" customWidth="1"/>
    <col min="15123" max="15123" width="14.4609375" style="1" customWidth="1"/>
    <col min="15124" max="15366" width="9.765625" style="1"/>
    <col min="15367" max="15367" width="22.4609375" style="1" customWidth="1"/>
    <col min="15368" max="15368" width="12.4609375" style="1" customWidth="1"/>
    <col min="15369" max="15369" width="8.765625" style="1" customWidth="1"/>
    <col min="15370" max="15370" width="20.765625" style="1" customWidth="1"/>
    <col min="15371" max="15371" width="18" style="1" customWidth="1"/>
    <col min="15372" max="15372" width="13.07421875" style="1" customWidth="1"/>
    <col min="15373" max="15373" width="8.23046875" style="1" customWidth="1"/>
    <col min="15374" max="15374" width="1.765625" style="1" customWidth="1"/>
    <col min="15375" max="15375" width="11.07421875" style="1" customWidth="1"/>
    <col min="15376" max="15376" width="11" style="1" customWidth="1"/>
    <col min="15377" max="15377" width="12.07421875" style="1" customWidth="1"/>
    <col min="15378" max="15378" width="7.765625" style="1" customWidth="1"/>
    <col min="15379" max="15379" width="14.4609375" style="1" customWidth="1"/>
    <col min="15380" max="15622" width="9.765625" style="1"/>
    <col min="15623" max="15623" width="22.4609375" style="1" customWidth="1"/>
    <col min="15624" max="15624" width="12.4609375" style="1" customWidth="1"/>
    <col min="15625" max="15625" width="8.765625" style="1" customWidth="1"/>
    <col min="15626" max="15626" width="20.765625" style="1" customWidth="1"/>
    <col min="15627" max="15627" width="18" style="1" customWidth="1"/>
    <col min="15628" max="15628" width="13.07421875" style="1" customWidth="1"/>
    <col min="15629" max="15629" width="8.23046875" style="1" customWidth="1"/>
    <col min="15630" max="15630" width="1.765625" style="1" customWidth="1"/>
    <col min="15631" max="15631" width="11.07421875" style="1" customWidth="1"/>
    <col min="15632" max="15632" width="11" style="1" customWidth="1"/>
    <col min="15633" max="15633" width="12.07421875" style="1" customWidth="1"/>
    <col min="15634" max="15634" width="7.765625" style="1" customWidth="1"/>
    <col min="15635" max="15635" width="14.4609375" style="1" customWidth="1"/>
    <col min="15636" max="15878" width="9.765625" style="1"/>
    <col min="15879" max="15879" width="22.4609375" style="1" customWidth="1"/>
    <col min="15880" max="15880" width="12.4609375" style="1" customWidth="1"/>
    <col min="15881" max="15881" width="8.765625" style="1" customWidth="1"/>
    <col min="15882" max="15882" width="20.765625" style="1" customWidth="1"/>
    <col min="15883" max="15883" width="18" style="1" customWidth="1"/>
    <col min="15884" max="15884" width="13.07421875" style="1" customWidth="1"/>
    <col min="15885" max="15885" width="8.23046875" style="1" customWidth="1"/>
    <col min="15886" max="15886" width="1.765625" style="1" customWidth="1"/>
    <col min="15887" max="15887" width="11.07421875" style="1" customWidth="1"/>
    <col min="15888" max="15888" width="11" style="1" customWidth="1"/>
    <col min="15889" max="15889" width="12.07421875" style="1" customWidth="1"/>
    <col min="15890" max="15890" width="7.765625" style="1" customWidth="1"/>
    <col min="15891" max="15891" width="14.4609375" style="1" customWidth="1"/>
    <col min="15892" max="16134" width="9.765625" style="1"/>
    <col min="16135" max="16135" width="22.4609375" style="1" customWidth="1"/>
    <col min="16136" max="16136" width="12.4609375" style="1" customWidth="1"/>
    <col min="16137" max="16137" width="8.765625" style="1" customWidth="1"/>
    <col min="16138" max="16138" width="20.765625" style="1" customWidth="1"/>
    <col min="16139" max="16139" width="18" style="1" customWidth="1"/>
    <col min="16140" max="16140" width="13.07421875" style="1" customWidth="1"/>
    <col min="16141" max="16141" width="8.23046875" style="1" customWidth="1"/>
    <col min="16142" max="16142" width="1.765625" style="1" customWidth="1"/>
    <col min="16143" max="16143" width="11.07421875" style="1" customWidth="1"/>
    <col min="16144" max="16144" width="11" style="1" customWidth="1"/>
    <col min="16145" max="16145" width="12.07421875" style="1" customWidth="1"/>
    <col min="16146" max="16146" width="7.765625" style="1" customWidth="1"/>
    <col min="16147" max="16147" width="14.4609375" style="1" customWidth="1"/>
    <col min="16148" max="16384" width="9.765625" style="1"/>
  </cols>
  <sheetData>
    <row r="1" spans="2:24" ht="18.5">
      <c r="B1" s="170" t="s">
        <v>488</v>
      </c>
      <c r="C1" s="3"/>
      <c r="D1" s="3"/>
      <c r="E1" s="3"/>
      <c r="F1" s="3"/>
      <c r="G1" s="3"/>
      <c r="H1" s="3"/>
      <c r="T1" s="6"/>
    </row>
    <row r="2" spans="2:24">
      <c r="B2" s="21"/>
      <c r="C2" s="6"/>
      <c r="D2" s="6"/>
      <c r="E2" s="6"/>
      <c r="F2" s="6"/>
      <c r="G2" s="6"/>
      <c r="H2" s="6"/>
      <c r="J2" s="2"/>
      <c r="K2" s="2"/>
      <c r="L2" s="4"/>
      <c r="T2" s="6"/>
    </row>
    <row r="3" spans="2:24" ht="15" thickBot="1">
      <c r="B3" s="59" t="s">
        <v>0</v>
      </c>
      <c r="C3" s="6"/>
      <c r="D3" s="6"/>
      <c r="E3" s="6"/>
      <c r="F3" s="6"/>
      <c r="G3" s="6"/>
      <c r="H3" s="6"/>
      <c r="J3" s="2"/>
      <c r="K3" s="2"/>
      <c r="L3" s="39"/>
      <c r="T3" s="6"/>
    </row>
    <row r="4" spans="2:24" ht="16" thickBot="1">
      <c r="B4" s="219" t="s">
        <v>61</v>
      </c>
      <c r="C4" s="400"/>
      <c r="D4" s="6"/>
      <c r="E4" s="6"/>
      <c r="F4" s="6"/>
      <c r="G4" s="65" t="s">
        <v>55</v>
      </c>
      <c r="H4" s="99"/>
      <c r="J4" s="285" t="s">
        <v>283</v>
      </c>
      <c r="K4" s="25"/>
      <c r="L4" s="286"/>
      <c r="M4" s="25"/>
      <c r="N4" s="25"/>
      <c r="O4" s="25"/>
      <c r="P4" s="115"/>
    </row>
    <row r="5" spans="2:24" ht="15" thickBot="1">
      <c r="B5" s="33" t="s">
        <v>64</v>
      </c>
      <c r="C5" s="398"/>
      <c r="D5" s="6"/>
      <c r="E5" s="6"/>
      <c r="F5" s="6"/>
      <c r="G5" s="40" t="s">
        <v>28</v>
      </c>
      <c r="H5" s="66">
        <f>C9*C8</f>
        <v>0</v>
      </c>
      <c r="J5" s="293"/>
      <c r="K5" s="294"/>
      <c r="L5" s="294"/>
      <c r="M5" s="294"/>
      <c r="N5" s="294"/>
      <c r="O5" s="294"/>
      <c r="P5" s="295"/>
    </row>
    <row r="6" spans="2:24" ht="15" thickBot="1">
      <c r="B6" s="32" t="s">
        <v>5</v>
      </c>
      <c r="C6" s="394"/>
      <c r="D6" s="6"/>
      <c r="E6" s="6"/>
      <c r="F6" s="6"/>
      <c r="G6" s="43" t="s">
        <v>30</v>
      </c>
      <c r="H6" s="283">
        <f>IF(C14&gt;=7%,C17*C11*C12*C14,C17*C11*C12)</f>
        <v>0</v>
      </c>
      <c r="J6" s="287"/>
      <c r="K6" s="288"/>
      <c r="L6" s="288"/>
      <c r="M6" s="288"/>
      <c r="N6" s="288"/>
      <c r="O6" s="288"/>
      <c r="P6" s="289"/>
    </row>
    <row r="7" spans="2:24" ht="15" thickBot="1">
      <c r="B7" s="215" t="s">
        <v>9</v>
      </c>
      <c r="C7" s="394"/>
      <c r="D7" s="6"/>
      <c r="E7" s="6"/>
      <c r="F7" s="6"/>
      <c r="G7" s="43" t="s">
        <v>29</v>
      </c>
      <c r="H7" s="66">
        <f>IF(C7="CUSMA",0,IF(C7="Domestic",0,C11*C12*Rates!B33*C14))</f>
        <v>0</v>
      </c>
      <c r="J7" s="287"/>
      <c r="K7" s="288"/>
      <c r="L7" s="288"/>
      <c r="M7" s="288"/>
      <c r="N7" s="288"/>
      <c r="O7" s="288"/>
      <c r="P7" s="289"/>
    </row>
    <row r="8" spans="2:24" ht="15" thickBot="1">
      <c r="B8" s="32" t="s">
        <v>448</v>
      </c>
      <c r="C8" s="401"/>
      <c r="D8" s="6"/>
      <c r="E8" s="6"/>
      <c r="F8" s="6"/>
      <c r="G8" s="43" t="s">
        <v>71</v>
      </c>
      <c r="H8" s="66">
        <f>C10</f>
        <v>0</v>
      </c>
      <c r="J8" s="287"/>
      <c r="K8" s="288"/>
      <c r="L8" s="288"/>
      <c r="M8" s="288"/>
      <c r="N8" s="288"/>
      <c r="O8" s="288"/>
      <c r="P8" s="289"/>
    </row>
    <row r="9" spans="2:24" ht="15" thickBot="1">
      <c r="B9" s="215" t="s">
        <v>14</v>
      </c>
      <c r="C9" s="402"/>
      <c r="D9" s="6"/>
      <c r="E9" s="6"/>
      <c r="F9" s="6"/>
      <c r="G9" s="54" t="s">
        <v>31</v>
      </c>
      <c r="H9" s="66">
        <f>SUM(H5:H8)</f>
        <v>0</v>
      </c>
      <c r="J9" s="287"/>
      <c r="K9" s="288"/>
      <c r="L9" s="288"/>
      <c r="M9" s="288"/>
      <c r="N9" s="288"/>
      <c r="O9" s="288"/>
      <c r="P9" s="289"/>
      <c r="T9" s="6"/>
      <c r="W9" s="6"/>
      <c r="X9" s="6"/>
    </row>
    <row r="10" spans="2:24" ht="15" thickBot="1">
      <c r="B10" s="217" t="s">
        <v>16</v>
      </c>
      <c r="C10" s="401"/>
      <c r="D10" s="6"/>
      <c r="E10" s="6"/>
      <c r="F10" s="6"/>
      <c r="G10" s="43" t="s">
        <v>72</v>
      </c>
      <c r="H10" s="154">
        <f>ROUND(+C19*C11*C12,4)</f>
        <v>0</v>
      </c>
      <c r="J10" s="287"/>
      <c r="K10" s="288"/>
      <c r="L10" s="288"/>
      <c r="M10" s="288"/>
      <c r="N10" s="288"/>
      <c r="O10" s="288"/>
      <c r="P10" s="289"/>
      <c r="W10" s="6"/>
    </row>
    <row r="11" spans="2:24" ht="15" thickBot="1">
      <c r="B11" s="216" t="s">
        <v>18</v>
      </c>
      <c r="C11" s="403"/>
      <c r="D11" s="6"/>
      <c r="E11" s="6"/>
      <c r="F11" s="6"/>
      <c r="G11" s="43" t="s">
        <v>73</v>
      </c>
      <c r="H11" s="66">
        <f>ROUND(+C20*C11*C12,4)</f>
        <v>0</v>
      </c>
      <c r="J11" s="287"/>
      <c r="K11" s="288"/>
      <c r="L11" s="288"/>
      <c r="M11" s="288"/>
      <c r="N11" s="288"/>
      <c r="O11" s="288"/>
      <c r="P11" s="289"/>
      <c r="T11" s="6"/>
      <c r="U11" s="6"/>
      <c r="W11" s="6"/>
    </row>
    <row r="12" spans="2:24" ht="15" thickBot="1">
      <c r="B12" s="215" t="s">
        <v>20</v>
      </c>
      <c r="C12" s="404"/>
      <c r="D12" s="6"/>
      <c r="E12" s="6"/>
      <c r="F12" s="6"/>
      <c r="G12" s="43" t="s">
        <v>57</v>
      </c>
      <c r="H12" s="66" t="e">
        <f>ROUND((C11*C12)*C21,4)</f>
        <v>#N/A</v>
      </c>
      <c r="I12" s="27"/>
      <c r="J12" s="287"/>
      <c r="K12" s="288"/>
      <c r="L12" s="288"/>
      <c r="M12" s="288"/>
      <c r="N12" s="288"/>
      <c r="O12" s="288"/>
      <c r="P12" s="289"/>
      <c r="T12" s="8"/>
    </row>
    <row r="13" spans="2:24" ht="15" thickBot="1">
      <c r="B13" s="215" t="s">
        <v>22</v>
      </c>
      <c r="C13" s="404"/>
      <c r="D13" s="6"/>
      <c r="E13" s="6"/>
      <c r="F13" s="6"/>
      <c r="G13" s="43" t="s">
        <v>34</v>
      </c>
      <c r="H13" s="155" t="e">
        <f>H9+H10+H11+H12</f>
        <v>#N/A</v>
      </c>
      <c r="I13" s="27"/>
      <c r="J13" s="287"/>
      <c r="K13" s="288"/>
      <c r="L13" s="288"/>
      <c r="M13" s="288"/>
      <c r="N13" s="288"/>
      <c r="O13" s="288"/>
      <c r="P13" s="289"/>
      <c r="T13" s="8"/>
    </row>
    <row r="14" spans="2:24" ht="15" thickBot="1">
      <c r="B14" s="218" t="s">
        <v>24</v>
      </c>
      <c r="C14" s="405"/>
      <c r="D14" s="574" t="s">
        <v>289</v>
      </c>
      <c r="E14" s="575"/>
      <c r="F14" s="6"/>
      <c r="G14" s="43"/>
      <c r="H14" s="66"/>
      <c r="J14" s="287"/>
      <c r="K14" s="288"/>
      <c r="L14" s="288"/>
      <c r="M14" s="288"/>
      <c r="N14" s="288"/>
      <c r="O14" s="288"/>
      <c r="P14" s="289"/>
      <c r="R14" s="8"/>
      <c r="T14" s="8"/>
    </row>
    <row r="15" spans="2:24" ht="15.75" customHeight="1" thickBot="1">
      <c r="B15" s="344" t="s">
        <v>26</v>
      </c>
      <c r="C15" s="373" t="e">
        <f>H25</f>
        <v>#N/A</v>
      </c>
      <c r="D15" s="434" t="e">
        <f>H20+H24</f>
        <v>#N/A</v>
      </c>
      <c r="E15" s="315" t="e">
        <f>C15-D15</f>
        <v>#N/A</v>
      </c>
      <c r="F15" s="6"/>
      <c r="G15" s="27" t="s">
        <v>35</v>
      </c>
      <c r="H15" s="68" t="e">
        <f>H13/C12</f>
        <v>#N/A</v>
      </c>
      <c r="J15" s="287"/>
      <c r="K15" s="288"/>
      <c r="L15" s="288"/>
      <c r="M15" s="288"/>
      <c r="N15" s="288"/>
      <c r="O15" s="288"/>
      <c r="P15" s="289"/>
    </row>
    <row r="16" spans="2:24" ht="15" thickBot="1">
      <c r="D16" s="6"/>
      <c r="E16" s="6"/>
      <c r="F16" s="6"/>
      <c r="G16" s="43" t="s">
        <v>68</v>
      </c>
      <c r="H16" s="68">
        <f>ROUND(+C22*C11,4)</f>
        <v>0</v>
      </c>
      <c r="J16" s="287"/>
      <c r="K16" s="288"/>
      <c r="L16" s="288"/>
      <c r="M16" s="288"/>
      <c r="N16" s="288"/>
      <c r="O16" s="288"/>
      <c r="P16" s="289"/>
    </row>
    <row r="17" spans="2:20" ht="15.75" customHeight="1">
      <c r="B17" s="52" t="s">
        <v>3</v>
      </c>
      <c r="C17" s="376">
        <f>IF(C14&lt;=7%,Rates!B27,Rates!B28)</f>
        <v>0.35099999999999998</v>
      </c>
      <c r="D17" s="319"/>
      <c r="E17" s="319"/>
      <c r="F17" s="319"/>
      <c r="G17" s="43" t="s">
        <v>19</v>
      </c>
      <c r="H17" s="68">
        <f>ROUND(+C23*C13,4)</f>
        <v>0</v>
      </c>
      <c r="J17" s="287"/>
      <c r="K17" s="288"/>
      <c r="L17" s="288"/>
      <c r="M17" s="288"/>
      <c r="N17" s="288"/>
      <c r="O17" s="288"/>
      <c r="P17" s="289"/>
    </row>
    <row r="18" spans="2:20" ht="15" thickBot="1">
      <c r="B18" s="53" t="s">
        <v>7</v>
      </c>
      <c r="C18" s="354" t="e">
        <f>VLOOKUP("Flavoured Beer"&amp;C6&amp;C7,Rates!I:J,2,FALSE)</f>
        <v>#N/A</v>
      </c>
      <c r="D18" s="337"/>
      <c r="E18" s="337"/>
      <c r="F18" s="337"/>
      <c r="G18" s="43" t="s">
        <v>38</v>
      </c>
      <c r="H18" s="271" t="e">
        <f>ROUND(SUM(H15:H17),4)</f>
        <v>#N/A</v>
      </c>
      <c r="J18" s="290"/>
      <c r="K18" s="291"/>
      <c r="L18" s="291"/>
      <c r="M18" s="291"/>
      <c r="N18" s="291"/>
      <c r="O18" s="291"/>
      <c r="P18" s="292"/>
      <c r="S18" s="6"/>
    </row>
    <row r="19" spans="2:20">
      <c r="B19" s="43" t="s">
        <v>63</v>
      </c>
      <c r="C19" s="354">
        <f>Rates!C3</f>
        <v>0.74109999999999998</v>
      </c>
      <c r="D19" s="338"/>
      <c r="E19" s="338"/>
      <c r="F19" s="338"/>
      <c r="G19" s="43" t="s">
        <v>21</v>
      </c>
      <c r="H19" s="68" t="e">
        <f>ROUND(+H18*C24,4)</f>
        <v>#N/A</v>
      </c>
      <c r="S19" s="6"/>
    </row>
    <row r="20" spans="2:20">
      <c r="B20" s="43" t="s">
        <v>66</v>
      </c>
      <c r="C20" s="354">
        <f>Rates!C4</f>
        <v>0.2006</v>
      </c>
      <c r="D20" s="337"/>
      <c r="E20" s="337"/>
      <c r="F20" s="337"/>
      <c r="G20" s="43" t="s">
        <v>39</v>
      </c>
      <c r="H20" s="271" t="e">
        <f>ROUND(SUM(H18:H19),4)</f>
        <v>#N/A</v>
      </c>
      <c r="S20" s="6"/>
    </row>
    <row r="21" spans="2:20">
      <c r="B21" s="145" t="s">
        <v>67</v>
      </c>
      <c r="C21" s="365" t="e">
        <f>VLOOKUP(C4,Rates!A11:B12,2,FALSE)</f>
        <v>#N/A</v>
      </c>
      <c r="D21" s="337"/>
      <c r="E21" s="337"/>
      <c r="F21" s="337"/>
      <c r="G21" s="331" t="s">
        <v>288</v>
      </c>
      <c r="H21" s="160" t="e">
        <f>H23-H22</f>
        <v>#N/A</v>
      </c>
      <c r="S21" s="6"/>
      <c r="T21" s="8"/>
    </row>
    <row r="22" spans="2:20">
      <c r="B22" s="43" t="s">
        <v>68</v>
      </c>
      <c r="C22" s="354">
        <f>Rates!B7</f>
        <v>0.17599999999999999</v>
      </c>
      <c r="D22" s="337"/>
      <c r="E22" s="337"/>
      <c r="F22" s="337"/>
      <c r="G22" s="331" t="s">
        <v>21</v>
      </c>
      <c r="H22" s="272" t="e">
        <f>ROUND(+H23*(C24*100/(100+C24*100)),2)</f>
        <v>#N/A</v>
      </c>
    </row>
    <row r="23" spans="2:20">
      <c r="B23" s="43" t="s">
        <v>19</v>
      </c>
      <c r="C23" s="354">
        <f>Rates!B77</f>
        <v>8.9300000000000004E-2</v>
      </c>
      <c r="D23" s="339"/>
      <c r="E23" s="339"/>
      <c r="F23" s="339"/>
      <c r="G23" s="331" t="s">
        <v>49</v>
      </c>
      <c r="H23" s="160" t="e">
        <f>MAX(CEILING(H20,0.05))</f>
        <v>#N/A</v>
      </c>
    </row>
    <row r="24" spans="2:20" ht="15" thickBot="1">
      <c r="B24" s="43" t="s">
        <v>21</v>
      </c>
      <c r="C24" s="356">
        <f>Rates!B79</f>
        <v>0.13</v>
      </c>
      <c r="D24" s="337"/>
      <c r="E24" s="337"/>
      <c r="F24" s="337"/>
      <c r="G24" s="43" t="s">
        <v>42</v>
      </c>
      <c r="H24" s="160" t="e">
        <f>C13*C25</f>
        <v>#N/A</v>
      </c>
    </row>
    <row r="25" spans="2:20" ht="15" thickBot="1">
      <c r="B25" s="56" t="s">
        <v>23</v>
      </c>
      <c r="C25" s="366" t="e">
        <f>VLOOKUP(C5,Rates!A82:B86,2,FALSE)</f>
        <v>#N/A</v>
      </c>
      <c r="D25" s="337"/>
      <c r="E25" s="337"/>
      <c r="F25" s="337"/>
      <c r="G25" s="116" t="s">
        <v>75</v>
      </c>
      <c r="H25" s="273" t="e">
        <f>SUM(H23:H24)</f>
        <v>#N/A</v>
      </c>
    </row>
    <row r="26" spans="2:20">
      <c r="D26" s="337"/>
      <c r="E26" s="337"/>
      <c r="F26" s="337"/>
      <c r="G26" s="340"/>
      <c r="H26" s="340"/>
    </row>
    <row r="27" spans="2:20">
      <c r="D27" s="337"/>
      <c r="E27" s="337"/>
      <c r="F27" s="337"/>
      <c r="G27" s="1" t="s">
        <v>4</v>
      </c>
      <c r="H27" s="340"/>
    </row>
    <row r="28" spans="2:20">
      <c r="D28" s="340"/>
      <c r="E28" s="340"/>
      <c r="F28" s="340"/>
      <c r="G28" s="223" t="s">
        <v>8</v>
      </c>
      <c r="H28" s="341"/>
    </row>
    <row r="29" spans="2:20" ht="15" thickBot="1">
      <c r="D29" s="340"/>
      <c r="E29" s="340"/>
      <c r="F29" s="340"/>
      <c r="G29" s="340"/>
      <c r="H29" s="340"/>
    </row>
    <row r="30" spans="2:20" ht="15" thickBot="1">
      <c r="D30" s="340"/>
      <c r="E30" s="340"/>
      <c r="F30" s="340"/>
      <c r="G30" s="527" t="s">
        <v>496</v>
      </c>
      <c r="H30" s="528"/>
    </row>
    <row r="31" spans="2:20">
      <c r="D31" s="341"/>
      <c r="E31" s="341"/>
      <c r="F31" s="341"/>
      <c r="G31" s="530" t="s">
        <v>497</v>
      </c>
      <c r="H31" s="534" t="e">
        <f>H18</f>
        <v>#N/A</v>
      </c>
    </row>
    <row r="32" spans="2:20">
      <c r="D32" s="340"/>
      <c r="E32" s="340"/>
      <c r="F32" s="340"/>
      <c r="G32" s="530"/>
      <c r="H32" s="535"/>
      <c r="J32" s="157"/>
      <c r="K32" s="157"/>
    </row>
    <row r="33" spans="2:18">
      <c r="D33" s="341"/>
      <c r="E33" s="341"/>
      <c r="F33" s="341"/>
      <c r="G33" s="530" t="s">
        <v>498</v>
      </c>
      <c r="H33" s="534" t="e">
        <f>SUM(H31*10%)</f>
        <v>#N/A</v>
      </c>
      <c r="J33" s="157"/>
    </row>
    <row r="34" spans="2:18">
      <c r="D34" s="343"/>
      <c r="E34" s="343"/>
      <c r="F34" s="343"/>
      <c r="G34" s="530" t="s">
        <v>500</v>
      </c>
      <c r="H34" s="534" t="e">
        <f>SUM(H31-H33)</f>
        <v>#N/A</v>
      </c>
      <c r="J34" s="157"/>
      <c r="R34" s="117"/>
    </row>
    <row r="35" spans="2:18">
      <c r="D35" s="343"/>
      <c r="E35" s="343"/>
      <c r="F35" s="343"/>
      <c r="G35" s="530" t="s">
        <v>21</v>
      </c>
      <c r="H35" s="534" t="e">
        <f>SUM(H34*C24)</f>
        <v>#N/A</v>
      </c>
      <c r="J35" s="157"/>
    </row>
    <row r="36" spans="2:18" ht="15" thickBot="1">
      <c r="D36" s="342"/>
      <c r="E36" s="342"/>
      <c r="F36" s="342"/>
      <c r="G36" s="530" t="s">
        <v>499</v>
      </c>
      <c r="H36" s="534" t="e">
        <f>C25</f>
        <v>#N/A</v>
      </c>
      <c r="J36" s="157"/>
    </row>
    <row r="37" spans="2:18" ht="15" thickBot="1">
      <c r="D37" s="343"/>
      <c r="E37" s="343"/>
      <c r="F37" s="343"/>
      <c r="G37" s="527" t="s">
        <v>501</v>
      </c>
      <c r="H37" s="536" t="e">
        <f>SUM(H34+H35+H36)</f>
        <v>#N/A</v>
      </c>
      <c r="J37" s="157"/>
      <c r="K37" s="29"/>
      <c r="N37" s="8"/>
      <c r="P37" s="8"/>
    </row>
    <row r="38" spans="2:18">
      <c r="D38" s="343"/>
      <c r="E38" s="343"/>
      <c r="F38" s="343"/>
      <c r="G38" s="533" t="s">
        <v>502</v>
      </c>
      <c r="J38" s="157"/>
      <c r="K38" s="29"/>
      <c r="N38" s="8"/>
      <c r="P38" s="8"/>
    </row>
    <row r="39" spans="2:18">
      <c r="D39" s="343"/>
      <c r="E39" s="343"/>
      <c r="F39" s="343"/>
      <c r="J39" s="157"/>
      <c r="K39" s="29"/>
      <c r="M39" s="36"/>
      <c r="N39" s="119"/>
      <c r="O39" s="36"/>
      <c r="P39" s="119"/>
    </row>
    <row r="40" spans="2:18">
      <c r="D40" s="319"/>
      <c r="E40" s="319"/>
      <c r="F40" s="319"/>
    </row>
    <row r="41" spans="2:18">
      <c r="D41" s="372"/>
      <c r="E41" s="372"/>
      <c r="F41" s="372"/>
      <c r="G41" s="5"/>
      <c r="H41" s="5"/>
      <c r="I41" s="3"/>
    </row>
    <row r="42" spans="2:18">
      <c r="J42" s="11"/>
      <c r="Q42" s="4"/>
    </row>
    <row r="43" spans="2:18">
      <c r="G43" s="8"/>
      <c r="H43" s="8"/>
      <c r="Q43" s="11"/>
    </row>
    <row r="44" spans="2:18">
      <c r="B44" s="5"/>
      <c r="C44" s="5"/>
      <c r="D44" s="5"/>
      <c r="E44" s="5"/>
      <c r="F44" s="5"/>
      <c r="G44" s="8"/>
      <c r="H44" s="8"/>
    </row>
    <row r="45" spans="2:18">
      <c r="B45" s="5"/>
      <c r="G45" s="8"/>
      <c r="H45" s="8"/>
      <c r="Q45" s="8"/>
    </row>
    <row r="46" spans="2:18">
      <c r="B46" s="5"/>
      <c r="C46" s="8"/>
      <c r="D46" s="8"/>
      <c r="E46" s="8"/>
      <c r="F46" s="8"/>
      <c r="G46" s="8"/>
      <c r="H46" s="8"/>
      <c r="J46" s="8"/>
    </row>
    <row r="47" spans="2:18">
      <c r="B47" s="5"/>
      <c r="C47" s="8"/>
      <c r="D47" s="8"/>
      <c r="E47" s="8"/>
      <c r="F47" s="8"/>
      <c r="G47" s="8"/>
      <c r="H47" s="8"/>
      <c r="Q47" s="8"/>
    </row>
    <row r="48" spans="2:18">
      <c r="B48" s="5"/>
      <c r="C48" s="8"/>
      <c r="D48" s="8"/>
      <c r="E48" s="8"/>
      <c r="F48" s="8"/>
      <c r="G48" s="8"/>
      <c r="H48" s="8"/>
      <c r="J48" s="11"/>
      <c r="Q48" s="8"/>
    </row>
    <row r="49" spans="2:19">
      <c r="B49" s="5"/>
      <c r="C49" s="8"/>
      <c r="D49" s="8"/>
      <c r="E49" s="8"/>
      <c r="F49" s="8"/>
      <c r="G49" s="8"/>
      <c r="H49" s="8"/>
      <c r="Q49" s="11"/>
      <c r="S49" s="11"/>
    </row>
    <row r="50" spans="2:19">
      <c r="B50" s="8"/>
      <c r="C50" s="8"/>
      <c r="D50" s="8"/>
      <c r="E50" s="8"/>
      <c r="F50" s="8"/>
      <c r="G50" s="8"/>
      <c r="H50" s="8"/>
      <c r="Q50" s="8"/>
    </row>
    <row r="51" spans="2:19">
      <c r="B51" s="8"/>
      <c r="C51" s="8"/>
      <c r="D51" s="8"/>
      <c r="E51" s="8"/>
      <c r="F51" s="8"/>
      <c r="G51" s="8"/>
      <c r="H51" s="8"/>
      <c r="Q51" s="8"/>
      <c r="R51" s="122"/>
      <c r="S51" s="123"/>
    </row>
    <row r="52" spans="2:19">
      <c r="B52" s="8"/>
      <c r="C52" s="8"/>
      <c r="D52" s="8"/>
      <c r="E52" s="8"/>
      <c r="F52" s="8"/>
      <c r="G52" s="8"/>
      <c r="H52" s="8"/>
      <c r="J52" s="8"/>
    </row>
    <row r="53" spans="2:19">
      <c r="B53" s="8"/>
      <c r="C53" s="8"/>
      <c r="D53" s="8"/>
      <c r="E53" s="8"/>
      <c r="F53" s="8"/>
      <c r="G53" s="8"/>
      <c r="H53" s="8"/>
      <c r="Q53" s="8"/>
      <c r="R53" s="124"/>
      <c r="S53" s="8"/>
    </row>
    <row r="54" spans="2:19">
      <c r="B54" s="8"/>
      <c r="C54" s="8"/>
      <c r="D54" s="8"/>
      <c r="E54" s="8"/>
      <c r="F54" s="8"/>
      <c r="G54" s="8"/>
      <c r="H54" s="8"/>
      <c r="J54" s="11"/>
      <c r="Q54" s="8"/>
      <c r="S54" s="8"/>
    </row>
    <row r="55" spans="2:19">
      <c r="B55" s="8"/>
      <c r="C55" s="8"/>
      <c r="D55" s="8"/>
      <c r="E55" s="8"/>
      <c r="F55" s="8"/>
      <c r="G55" s="8"/>
      <c r="H55" s="8"/>
      <c r="Q55" s="11"/>
      <c r="S55" s="11"/>
    </row>
    <row r="56" spans="2:19">
      <c r="B56" s="8"/>
      <c r="C56" s="8"/>
      <c r="D56" s="8"/>
      <c r="E56" s="8"/>
      <c r="F56" s="8"/>
      <c r="G56" s="8"/>
      <c r="H56" s="8"/>
      <c r="J56" s="11"/>
      <c r="Q56" s="8"/>
    </row>
    <row r="57" spans="2:19">
      <c r="B57" s="8"/>
      <c r="C57" s="8"/>
      <c r="D57" s="8"/>
      <c r="E57" s="8"/>
      <c r="F57" s="8"/>
      <c r="G57" s="8"/>
      <c r="H57" s="8"/>
      <c r="Q57" s="11"/>
    </row>
    <row r="58" spans="2:19">
      <c r="B58" s="8"/>
      <c r="C58" s="8"/>
      <c r="D58" s="8"/>
      <c r="E58" s="8"/>
      <c r="F58" s="8"/>
      <c r="G58" s="8"/>
      <c r="H58" s="8"/>
      <c r="Q58" s="8"/>
    </row>
    <row r="59" spans="2:19">
      <c r="B59" s="8"/>
      <c r="C59" s="8"/>
      <c r="D59" s="8"/>
      <c r="E59" s="8"/>
      <c r="F59" s="8"/>
      <c r="Q59" s="123"/>
    </row>
    <row r="60" spans="2:19">
      <c r="B60" s="8"/>
      <c r="C60" s="8"/>
      <c r="D60" s="8"/>
      <c r="E60" s="8"/>
      <c r="F60" s="8"/>
      <c r="J60" s="11"/>
      <c r="Q60" s="8"/>
    </row>
    <row r="61" spans="2:19">
      <c r="B61" s="8"/>
      <c r="C61" s="8"/>
      <c r="D61" s="8"/>
      <c r="E61" s="8"/>
      <c r="F61" s="8"/>
      <c r="Q61" s="11"/>
    </row>
    <row r="62" spans="2:19">
      <c r="Q62" s="8"/>
    </row>
    <row r="63" spans="2:19">
      <c r="Q63" s="8"/>
    </row>
    <row r="64" spans="2:19">
      <c r="Q64" s="8"/>
    </row>
    <row r="65" spans="3:17">
      <c r="Q65" s="8"/>
    </row>
    <row r="66" spans="3:17">
      <c r="J66" s="11"/>
    </row>
    <row r="67" spans="3:17">
      <c r="Q67" s="125"/>
    </row>
    <row r="68" spans="3:17">
      <c r="J68" s="9"/>
    </row>
    <row r="69" spans="3:17">
      <c r="Q69" s="9"/>
    </row>
    <row r="70" spans="3:17">
      <c r="Q70" s="14"/>
    </row>
    <row r="71" spans="3:17">
      <c r="Q71" s="14"/>
    </row>
    <row r="72" spans="3:17">
      <c r="G72" s="9"/>
      <c r="H72" s="9"/>
      <c r="J72" s="9"/>
      <c r="Q72" s="14"/>
    </row>
    <row r="73" spans="3:17">
      <c r="G73" s="14"/>
      <c r="H73" s="14"/>
      <c r="Q73" s="9"/>
    </row>
    <row r="74" spans="3:17">
      <c r="Q74" s="14"/>
    </row>
    <row r="75" spans="3:17">
      <c r="C75" s="9"/>
      <c r="D75" s="9"/>
      <c r="E75" s="9"/>
      <c r="F75" s="9"/>
    </row>
    <row r="76" spans="3:17">
      <c r="C76" s="14"/>
      <c r="D76" s="14"/>
      <c r="E76" s="14"/>
      <c r="F76" s="14"/>
    </row>
    <row r="77" spans="3:17">
      <c r="G77" s="14"/>
      <c r="H77" s="14"/>
    </row>
    <row r="78" spans="3:17">
      <c r="G78" s="9"/>
      <c r="H78" s="9"/>
      <c r="J78" s="9"/>
      <c r="Q78" s="14"/>
    </row>
    <row r="79" spans="3:17">
      <c r="Q79" s="9"/>
    </row>
    <row r="80" spans="3:17">
      <c r="C80" s="14"/>
      <c r="D80" s="14"/>
      <c r="E80" s="14"/>
      <c r="F80" s="14"/>
      <c r="G80" s="14"/>
      <c r="H80" s="14"/>
    </row>
    <row r="81" spans="3:8">
      <c r="C81" s="9"/>
      <c r="D81" s="9"/>
      <c r="E81" s="9"/>
      <c r="F81" s="9"/>
      <c r="G81" s="14"/>
      <c r="H81" s="14"/>
    </row>
    <row r="82" spans="3:8">
      <c r="G82" s="14"/>
      <c r="H82" s="14"/>
    </row>
    <row r="83" spans="3:8">
      <c r="C83" s="14"/>
      <c r="D83" s="14"/>
      <c r="E83" s="14"/>
      <c r="F83" s="14"/>
      <c r="G83" s="14"/>
      <c r="H83" s="14"/>
    </row>
    <row r="84" spans="3:8">
      <c r="C84" s="14"/>
      <c r="D84" s="14"/>
      <c r="E84" s="14"/>
      <c r="F84" s="14"/>
    </row>
    <row r="85" spans="3:8">
      <c r="C85" s="14"/>
      <c r="D85" s="14"/>
      <c r="E85" s="14"/>
      <c r="F85" s="14"/>
    </row>
    <row r="86" spans="3:8">
      <c r="C86" s="14"/>
      <c r="D86" s="14"/>
      <c r="E86" s="14"/>
      <c r="F86" s="14"/>
    </row>
  </sheetData>
  <sheetProtection formatColumns="0" autoFilter="0" pivotTables="0"/>
  <protectedRanges>
    <protectedRange sqref="C25 C21 C8:C14" name="Range1"/>
    <protectedRange sqref="C4" name="Range1_1"/>
    <protectedRange password="CCE3" sqref="B25" name="Range3_1_1"/>
  </protectedRanges>
  <mergeCells count="1">
    <mergeCell ref="D14:E14"/>
  </mergeCells>
  <conditionalFormatting sqref="E15">
    <cfRule type="cellIs" dxfId="35" priority="1" operator="lessThan">
      <formula>0</formula>
    </cfRule>
    <cfRule type="cellIs" dxfId="34" priority="2" operator="greaterThan">
      <formula>0</formula>
    </cfRule>
    <cfRule type="cellIs" dxfId="33" priority="3" operator="greaterThan">
      <formula>0</formula>
    </cfRule>
  </conditionalFormatting>
  <dataValidations count="5">
    <dataValidation type="list" showInputMessage="1" showErrorMessage="1" sqref="WVP983032 WLT983032 WBX983032 VSB983032 VIF983032 UYJ983032 UON983032 UER983032 TUV983032 TKZ983032 TBD983032 SRH983032 SHL983032 RXP983032 RNT983032 RDX983032 QUB983032 QKF983032 QAJ983032 PQN983032 PGR983032 OWV983032 OMZ983032 ODD983032 NTH983032 NJL983032 MZP983032 MPT983032 MFX983032 LWB983032 LMF983032 LCJ983032 KSN983032 KIR983032 JYV983032 JOZ983032 JFD983032 IVH983032 ILL983032 IBP983032 HRT983032 HHX983032 GYB983032 GOF983032 GEJ983032 FUN983032 FKR983032 FAV983032 EQZ983032 EHD983032 DXH983032 DNL983032 DDP983032 CTT983032 CJX983032 CAB983032 BQF983032 BGJ983032 AWN983032 AMR983032 ACV983032 SZ983032 JD983032 WVP917496 WLT917496 WBX917496 VSB917496 VIF917496 UYJ917496 UON917496 UER917496 TUV917496 TKZ917496 TBD917496 SRH917496 SHL917496 RXP917496 RNT917496 RDX917496 QUB917496 QKF917496 QAJ917496 PQN917496 PGR917496 OWV917496 OMZ917496 ODD917496 NTH917496 NJL917496 MZP917496 MPT917496 MFX917496 LWB917496 LMF917496 LCJ917496 KSN917496 KIR917496 JYV917496 JOZ917496 JFD917496 IVH917496 ILL917496 IBP917496 HRT917496 HHX917496 GYB917496 GOF917496 GEJ917496 FUN917496 FKR917496 FAV917496 EQZ917496 EHD917496 DXH917496 DNL917496 DDP917496 CTT917496 CJX917496 CAB917496 BQF917496 BGJ917496 AWN917496 AMR917496 ACV917496 SZ917496 JD917496 WVP851960 WLT851960 WBX851960 VSB851960 VIF851960 UYJ851960 UON851960 UER851960 TUV851960 TKZ851960 TBD851960 SRH851960 SHL851960 RXP851960 RNT851960 RDX851960 QUB851960 QKF851960 QAJ851960 PQN851960 PGR851960 OWV851960 OMZ851960 ODD851960 NTH851960 NJL851960 MZP851960 MPT851960 MFX851960 LWB851960 LMF851960 LCJ851960 KSN851960 KIR851960 JYV851960 JOZ851960 JFD851960 IVH851960 ILL851960 IBP851960 HRT851960 HHX851960 GYB851960 GOF851960 GEJ851960 FUN851960 FKR851960 FAV851960 EQZ851960 EHD851960 DXH851960 DNL851960 DDP851960 CTT851960 CJX851960 CAB851960 BQF851960 BGJ851960 AWN851960 AMR851960 ACV851960 SZ851960 JD851960 WVP786424 WLT786424 WBX786424 VSB786424 VIF786424 UYJ786424 UON786424 UER786424 TUV786424 TKZ786424 TBD786424 SRH786424 SHL786424 RXP786424 RNT786424 RDX786424 QUB786424 QKF786424 QAJ786424 PQN786424 PGR786424 OWV786424 OMZ786424 ODD786424 NTH786424 NJL786424 MZP786424 MPT786424 MFX786424 LWB786424 LMF786424 LCJ786424 KSN786424 KIR786424 JYV786424 JOZ786424 JFD786424 IVH786424 ILL786424 IBP786424 HRT786424 HHX786424 GYB786424 GOF786424 GEJ786424 FUN786424 FKR786424 FAV786424 EQZ786424 EHD786424 DXH786424 DNL786424 DDP786424 CTT786424 CJX786424 CAB786424 BQF786424 BGJ786424 AWN786424 AMR786424 ACV786424 SZ786424 JD786424 WVP720888 WLT720888 WBX720888 VSB720888 VIF720888 UYJ720888 UON720888 UER720888 TUV720888 TKZ720888 TBD720888 SRH720888 SHL720888 RXP720888 RNT720888 RDX720888 QUB720888 QKF720888 QAJ720888 PQN720888 PGR720888 OWV720888 OMZ720888 ODD720888 NTH720888 NJL720888 MZP720888 MPT720888 MFX720888 LWB720888 LMF720888 LCJ720888 KSN720888 KIR720888 JYV720888 JOZ720888 JFD720888 IVH720888 ILL720888 IBP720888 HRT720888 HHX720888 GYB720888 GOF720888 GEJ720888 FUN720888 FKR720888 FAV720888 EQZ720888 EHD720888 DXH720888 DNL720888 DDP720888 CTT720888 CJX720888 CAB720888 BQF720888 BGJ720888 AWN720888 AMR720888 ACV720888 SZ720888 JD720888 WVP655352 WLT655352 WBX655352 VSB655352 VIF655352 UYJ655352 UON655352 UER655352 TUV655352 TKZ655352 TBD655352 SRH655352 SHL655352 RXP655352 RNT655352 RDX655352 QUB655352 QKF655352 QAJ655352 PQN655352 PGR655352 OWV655352 OMZ655352 ODD655352 NTH655352 NJL655352 MZP655352 MPT655352 MFX655352 LWB655352 LMF655352 LCJ655352 KSN655352 KIR655352 JYV655352 JOZ655352 JFD655352 IVH655352 ILL655352 IBP655352 HRT655352 HHX655352 GYB655352 GOF655352 GEJ655352 FUN655352 FKR655352 FAV655352 EQZ655352 EHD655352 DXH655352 DNL655352 DDP655352 CTT655352 CJX655352 CAB655352 BQF655352 BGJ655352 AWN655352 AMR655352 ACV655352 SZ655352 JD655352 WVP589816 WLT589816 WBX589816 VSB589816 VIF589816 UYJ589816 UON589816 UER589816 TUV589816 TKZ589816 TBD589816 SRH589816 SHL589816 RXP589816 RNT589816 RDX589816 QUB589816 QKF589816 QAJ589816 PQN589816 PGR589816 OWV589816 OMZ589816 ODD589816 NTH589816 NJL589816 MZP589816 MPT589816 MFX589816 LWB589816 LMF589816 LCJ589816 KSN589816 KIR589816 JYV589816 JOZ589816 JFD589816 IVH589816 ILL589816 IBP589816 HRT589816 HHX589816 GYB589816 GOF589816 GEJ589816 FUN589816 FKR589816 FAV589816 EQZ589816 EHD589816 DXH589816 DNL589816 DDP589816 CTT589816 CJX589816 CAB589816 BQF589816 BGJ589816 AWN589816 AMR589816 ACV589816 SZ589816 JD589816 WVP524280 WLT524280 WBX524280 VSB524280 VIF524280 UYJ524280 UON524280 UER524280 TUV524280 TKZ524280 TBD524280 SRH524280 SHL524280 RXP524280 RNT524280 RDX524280 QUB524280 QKF524280 QAJ524280 PQN524280 PGR524280 OWV524280 OMZ524280 ODD524280 NTH524280 NJL524280 MZP524280 MPT524280 MFX524280 LWB524280 LMF524280 LCJ524280 KSN524280 KIR524280 JYV524280 JOZ524280 JFD524280 IVH524280 ILL524280 IBP524280 HRT524280 HHX524280 GYB524280 GOF524280 GEJ524280 FUN524280 FKR524280 FAV524280 EQZ524280 EHD524280 DXH524280 DNL524280 DDP524280 CTT524280 CJX524280 CAB524280 BQF524280 BGJ524280 AWN524280 AMR524280 ACV524280 SZ524280 JD524280 WVP458744 WLT458744 WBX458744 VSB458744 VIF458744 UYJ458744 UON458744 UER458744 TUV458744 TKZ458744 TBD458744 SRH458744 SHL458744 RXP458744 RNT458744 RDX458744 QUB458744 QKF458744 QAJ458744 PQN458744 PGR458744 OWV458744 OMZ458744 ODD458744 NTH458744 NJL458744 MZP458744 MPT458744 MFX458744 LWB458744 LMF458744 LCJ458744 KSN458744 KIR458744 JYV458744 JOZ458744 JFD458744 IVH458744 ILL458744 IBP458744 HRT458744 HHX458744 GYB458744 GOF458744 GEJ458744 FUN458744 FKR458744 FAV458744 EQZ458744 EHD458744 DXH458744 DNL458744 DDP458744 CTT458744 CJX458744 CAB458744 BQF458744 BGJ458744 AWN458744 AMR458744 ACV458744 SZ458744 JD458744 WVP393208 WLT393208 WBX393208 VSB393208 VIF393208 UYJ393208 UON393208 UER393208 TUV393208 TKZ393208 TBD393208 SRH393208 SHL393208 RXP393208 RNT393208 RDX393208 QUB393208 QKF393208 QAJ393208 PQN393208 PGR393208 OWV393208 OMZ393208 ODD393208 NTH393208 NJL393208 MZP393208 MPT393208 MFX393208 LWB393208 LMF393208 LCJ393208 KSN393208 KIR393208 JYV393208 JOZ393208 JFD393208 IVH393208 ILL393208 IBP393208 HRT393208 HHX393208 GYB393208 GOF393208 GEJ393208 FUN393208 FKR393208 FAV393208 EQZ393208 EHD393208 DXH393208 DNL393208 DDP393208 CTT393208 CJX393208 CAB393208 BQF393208 BGJ393208 AWN393208 AMR393208 ACV393208 SZ393208 JD393208 WVP327672 WLT327672 WBX327672 VSB327672 VIF327672 UYJ327672 UON327672 UER327672 TUV327672 TKZ327672 TBD327672 SRH327672 SHL327672 RXP327672 RNT327672 RDX327672 QUB327672 QKF327672 QAJ327672 PQN327672 PGR327672 OWV327672 OMZ327672 ODD327672 NTH327672 NJL327672 MZP327672 MPT327672 MFX327672 LWB327672 LMF327672 LCJ327672 KSN327672 KIR327672 JYV327672 JOZ327672 JFD327672 IVH327672 ILL327672 IBP327672 HRT327672 HHX327672 GYB327672 GOF327672 GEJ327672 FUN327672 FKR327672 FAV327672 EQZ327672 EHD327672 DXH327672 DNL327672 DDP327672 CTT327672 CJX327672 CAB327672 BQF327672 BGJ327672 AWN327672 AMR327672 ACV327672 SZ327672 JD327672 WVP262136 WLT262136 WBX262136 VSB262136 VIF262136 UYJ262136 UON262136 UER262136 TUV262136 TKZ262136 TBD262136 SRH262136 SHL262136 RXP262136 RNT262136 RDX262136 QUB262136 QKF262136 QAJ262136 PQN262136 PGR262136 OWV262136 OMZ262136 ODD262136 NTH262136 NJL262136 MZP262136 MPT262136 MFX262136 LWB262136 LMF262136 LCJ262136 KSN262136 KIR262136 JYV262136 JOZ262136 JFD262136 IVH262136 ILL262136 IBP262136 HRT262136 HHX262136 GYB262136 GOF262136 GEJ262136 FUN262136 FKR262136 FAV262136 EQZ262136 EHD262136 DXH262136 DNL262136 DDP262136 CTT262136 CJX262136 CAB262136 BQF262136 BGJ262136 AWN262136 AMR262136 ACV262136 SZ262136 JD262136 WVP196600 WLT196600 WBX196600 VSB196600 VIF196600 UYJ196600 UON196600 UER196600 TUV196600 TKZ196600 TBD196600 SRH196600 SHL196600 RXP196600 RNT196600 RDX196600 QUB196600 QKF196600 QAJ196600 PQN196600 PGR196600 OWV196600 OMZ196600 ODD196600 NTH196600 NJL196600 MZP196600 MPT196600 MFX196600 LWB196600 LMF196600 LCJ196600 KSN196600 KIR196600 JYV196600 JOZ196600 JFD196600 IVH196600 ILL196600 IBP196600 HRT196600 HHX196600 GYB196600 GOF196600 GEJ196600 FUN196600 FKR196600 FAV196600 EQZ196600 EHD196600 DXH196600 DNL196600 DDP196600 CTT196600 CJX196600 CAB196600 BQF196600 BGJ196600 AWN196600 AMR196600 ACV196600 SZ196600 JD196600 WVP131064 WLT131064 WBX131064 VSB131064 VIF131064 UYJ131064 UON131064 UER131064 TUV131064 TKZ131064 TBD131064 SRH131064 SHL131064 RXP131064 RNT131064 RDX131064 QUB131064 QKF131064 QAJ131064 PQN131064 PGR131064 OWV131064 OMZ131064 ODD131064 NTH131064 NJL131064 MZP131064 MPT131064 MFX131064 LWB131064 LMF131064 LCJ131064 KSN131064 KIR131064 JYV131064 JOZ131064 JFD131064 IVH131064 ILL131064 IBP131064 HRT131064 HHX131064 GYB131064 GOF131064 GEJ131064 FUN131064 FKR131064 FAV131064 EQZ131064 EHD131064 DXH131064 DNL131064 DDP131064 CTT131064 CJX131064 CAB131064 BQF131064 BGJ131064 AWN131064 AMR131064 ACV131064 SZ131064 JD131064 WVP65528 WLT65528 WBX65528 VSB65528 VIF65528 UYJ65528 UON65528 UER65528 TUV65528 TKZ65528 TBD65528 SRH65528 SHL65528 RXP65528 RNT65528 RDX65528 QUB65528 QKF65528 QAJ65528 PQN65528 PGR65528 OWV65528 OMZ65528 ODD65528 NTH65528 NJL65528 MZP65528 MPT65528 MFX65528 LWB65528 LMF65528 LCJ65528 KSN65528 KIR65528 JYV65528 JOZ65528 JFD65528 IVH65528 ILL65528 IBP65528 HRT65528 HHX65528 GYB65528 GOF65528 GEJ65528 FUN65528 FKR65528 FAV65528 EQZ65528 EHD65528 DXH65528 DNL65528 DDP65528 CTT65528 CJX65528 CAB65528 BQF65528 BGJ65528 AWN65528 AMR65528 ACV65528 SZ65528 JD65528 WVP6 WLT6 WBX6 VSB6 VIF6 UYJ6 UON6 UER6 TUV6 TKZ6 TBD6 SRH6 SHL6 RXP6 RNT6 RDX6 QUB6 QKF6 QAJ6 PQN6 PGR6 OWV6 OMZ6 ODD6 NTH6 NJL6 MZP6 MPT6 MFX6 LWB6 LMF6 LCJ6 KSN6 KIR6 JYV6 JOZ6 JFD6 IVH6 ILL6 IBP6 HRT6 HHX6 GYB6 GOF6 GEJ6 FUN6 FKR6 FAV6 EQZ6 EHD6 DXH6 DNL6 DDP6 CTT6 CJX6 CAB6 BQF6 BGJ6 AWN6 AMR6 ACV6 SZ6 JD6 G65527:H65527 C65530:F65530 G131063:H131063 C131066:F131066 G196599:H196599 C196602:F196602 G262135:H262135 C262138:F262138 G327671:H327671 C327674:F327674 G393207:H393207 C393210:F393210 G458743:H458743 C458746:F458746 G524279:H524279 C524282:F524282 G589815:H589815 C589818:F589818 G655351:H655351 C655354:F655354 G720887:H720887 C720890:F720890 G786423:H786423 C786426:F786426 G851959:H851959 C851962:F851962 G917495:H917495 C917498:F917498 G983031:H983031 C983034:F983034" xr:uid="{E7A7C140-C205-4208-B8E9-11C5AEACBBA6}">
      <formula1>$B$46:$B$47</formula1>
    </dataValidation>
    <dataValidation type="list" showInputMessage="1" showErrorMessage="1" sqref="WVP983031 JD65527 SZ65527 ACV65527 AMR65527 AWN65527 BGJ65527 BQF65527 CAB65527 CJX65527 CTT65527 DDP65527 DNL65527 DXH65527 EHD65527 EQZ65527 FAV65527 FKR65527 FUN65527 GEJ65527 GOF65527 GYB65527 HHX65527 HRT65527 IBP65527 ILL65527 IVH65527 JFD65527 JOZ65527 JYV65527 KIR65527 KSN65527 LCJ65527 LMF65527 LWB65527 MFX65527 MPT65527 MZP65527 NJL65527 NTH65527 ODD65527 OMZ65527 OWV65527 PGR65527 PQN65527 QAJ65527 QKF65527 QUB65527 RDX65527 RNT65527 RXP65527 SHL65527 SRH65527 TBD65527 TKZ65527 TUV65527 UER65527 UON65527 UYJ65527 VIF65527 VSB65527 WBX65527 WLT65527 WVP65527 JD131063 SZ131063 ACV131063 AMR131063 AWN131063 BGJ131063 BQF131063 CAB131063 CJX131063 CTT131063 DDP131063 DNL131063 DXH131063 EHD131063 EQZ131063 FAV131063 FKR131063 FUN131063 GEJ131063 GOF131063 GYB131063 HHX131063 HRT131063 IBP131063 ILL131063 IVH131063 JFD131063 JOZ131063 JYV131063 KIR131063 KSN131063 LCJ131063 LMF131063 LWB131063 MFX131063 MPT131063 MZP131063 NJL131063 NTH131063 ODD131063 OMZ131063 OWV131063 PGR131063 PQN131063 QAJ131063 QKF131063 QUB131063 RDX131063 RNT131063 RXP131063 SHL131063 SRH131063 TBD131063 TKZ131063 TUV131063 UER131063 UON131063 UYJ131063 VIF131063 VSB131063 WBX131063 WLT131063 WVP131063 JD196599 SZ196599 ACV196599 AMR196599 AWN196599 BGJ196599 BQF196599 CAB196599 CJX196599 CTT196599 DDP196599 DNL196599 DXH196599 EHD196599 EQZ196599 FAV196599 FKR196599 FUN196599 GEJ196599 GOF196599 GYB196599 HHX196599 HRT196599 IBP196599 ILL196599 IVH196599 JFD196599 JOZ196599 JYV196599 KIR196599 KSN196599 LCJ196599 LMF196599 LWB196599 MFX196599 MPT196599 MZP196599 NJL196599 NTH196599 ODD196599 OMZ196599 OWV196599 PGR196599 PQN196599 QAJ196599 QKF196599 QUB196599 RDX196599 RNT196599 RXP196599 SHL196599 SRH196599 TBD196599 TKZ196599 TUV196599 UER196599 UON196599 UYJ196599 VIF196599 VSB196599 WBX196599 WLT196599 WVP196599 JD262135 SZ262135 ACV262135 AMR262135 AWN262135 BGJ262135 BQF262135 CAB262135 CJX262135 CTT262135 DDP262135 DNL262135 DXH262135 EHD262135 EQZ262135 FAV262135 FKR262135 FUN262135 GEJ262135 GOF262135 GYB262135 HHX262135 HRT262135 IBP262135 ILL262135 IVH262135 JFD262135 JOZ262135 JYV262135 KIR262135 KSN262135 LCJ262135 LMF262135 LWB262135 MFX262135 MPT262135 MZP262135 NJL262135 NTH262135 ODD262135 OMZ262135 OWV262135 PGR262135 PQN262135 QAJ262135 QKF262135 QUB262135 RDX262135 RNT262135 RXP262135 SHL262135 SRH262135 TBD262135 TKZ262135 TUV262135 UER262135 UON262135 UYJ262135 VIF262135 VSB262135 WBX262135 WLT262135 WVP262135 JD327671 SZ327671 ACV327671 AMR327671 AWN327671 BGJ327671 BQF327671 CAB327671 CJX327671 CTT327671 DDP327671 DNL327671 DXH327671 EHD327671 EQZ327671 FAV327671 FKR327671 FUN327671 GEJ327671 GOF327671 GYB327671 HHX327671 HRT327671 IBP327671 ILL327671 IVH327671 JFD327671 JOZ327671 JYV327671 KIR327671 KSN327671 LCJ327671 LMF327671 LWB327671 MFX327671 MPT327671 MZP327671 NJL327671 NTH327671 ODD327671 OMZ327671 OWV327671 PGR327671 PQN327671 QAJ327671 QKF327671 QUB327671 RDX327671 RNT327671 RXP327671 SHL327671 SRH327671 TBD327671 TKZ327671 TUV327671 UER327671 UON327671 UYJ327671 VIF327671 VSB327671 WBX327671 WLT327671 WVP327671 JD393207 SZ393207 ACV393207 AMR393207 AWN393207 BGJ393207 BQF393207 CAB393207 CJX393207 CTT393207 DDP393207 DNL393207 DXH393207 EHD393207 EQZ393207 FAV393207 FKR393207 FUN393207 GEJ393207 GOF393207 GYB393207 HHX393207 HRT393207 IBP393207 ILL393207 IVH393207 JFD393207 JOZ393207 JYV393207 KIR393207 KSN393207 LCJ393207 LMF393207 LWB393207 MFX393207 MPT393207 MZP393207 NJL393207 NTH393207 ODD393207 OMZ393207 OWV393207 PGR393207 PQN393207 QAJ393207 QKF393207 QUB393207 RDX393207 RNT393207 RXP393207 SHL393207 SRH393207 TBD393207 TKZ393207 TUV393207 UER393207 UON393207 UYJ393207 VIF393207 VSB393207 WBX393207 WLT393207 WVP393207 JD458743 SZ458743 ACV458743 AMR458743 AWN458743 BGJ458743 BQF458743 CAB458743 CJX458743 CTT458743 DDP458743 DNL458743 DXH458743 EHD458743 EQZ458743 FAV458743 FKR458743 FUN458743 GEJ458743 GOF458743 GYB458743 HHX458743 HRT458743 IBP458743 ILL458743 IVH458743 JFD458743 JOZ458743 JYV458743 KIR458743 KSN458743 LCJ458743 LMF458743 LWB458743 MFX458743 MPT458743 MZP458743 NJL458743 NTH458743 ODD458743 OMZ458743 OWV458743 PGR458743 PQN458743 QAJ458743 QKF458743 QUB458743 RDX458743 RNT458743 RXP458743 SHL458743 SRH458743 TBD458743 TKZ458743 TUV458743 UER458743 UON458743 UYJ458743 VIF458743 VSB458743 WBX458743 WLT458743 WVP458743 JD524279 SZ524279 ACV524279 AMR524279 AWN524279 BGJ524279 BQF524279 CAB524279 CJX524279 CTT524279 DDP524279 DNL524279 DXH524279 EHD524279 EQZ524279 FAV524279 FKR524279 FUN524279 GEJ524279 GOF524279 GYB524279 HHX524279 HRT524279 IBP524279 ILL524279 IVH524279 JFD524279 JOZ524279 JYV524279 KIR524279 KSN524279 LCJ524279 LMF524279 LWB524279 MFX524279 MPT524279 MZP524279 NJL524279 NTH524279 ODD524279 OMZ524279 OWV524279 PGR524279 PQN524279 QAJ524279 QKF524279 QUB524279 RDX524279 RNT524279 RXP524279 SHL524279 SRH524279 TBD524279 TKZ524279 TUV524279 UER524279 UON524279 UYJ524279 VIF524279 VSB524279 WBX524279 WLT524279 WVP524279 JD589815 SZ589815 ACV589815 AMR589815 AWN589815 BGJ589815 BQF589815 CAB589815 CJX589815 CTT589815 DDP589815 DNL589815 DXH589815 EHD589815 EQZ589815 FAV589815 FKR589815 FUN589815 GEJ589815 GOF589815 GYB589815 HHX589815 HRT589815 IBP589815 ILL589815 IVH589815 JFD589815 JOZ589815 JYV589815 KIR589815 KSN589815 LCJ589815 LMF589815 LWB589815 MFX589815 MPT589815 MZP589815 NJL589815 NTH589815 ODD589815 OMZ589815 OWV589815 PGR589815 PQN589815 QAJ589815 QKF589815 QUB589815 RDX589815 RNT589815 RXP589815 SHL589815 SRH589815 TBD589815 TKZ589815 TUV589815 UER589815 UON589815 UYJ589815 VIF589815 VSB589815 WBX589815 WLT589815 WVP589815 JD655351 SZ655351 ACV655351 AMR655351 AWN655351 BGJ655351 BQF655351 CAB655351 CJX655351 CTT655351 DDP655351 DNL655351 DXH655351 EHD655351 EQZ655351 FAV655351 FKR655351 FUN655351 GEJ655351 GOF655351 GYB655351 HHX655351 HRT655351 IBP655351 ILL655351 IVH655351 JFD655351 JOZ655351 JYV655351 KIR655351 KSN655351 LCJ655351 LMF655351 LWB655351 MFX655351 MPT655351 MZP655351 NJL655351 NTH655351 ODD655351 OMZ655351 OWV655351 PGR655351 PQN655351 QAJ655351 QKF655351 QUB655351 RDX655351 RNT655351 RXP655351 SHL655351 SRH655351 TBD655351 TKZ655351 TUV655351 UER655351 UON655351 UYJ655351 VIF655351 VSB655351 WBX655351 WLT655351 WVP655351 JD720887 SZ720887 ACV720887 AMR720887 AWN720887 BGJ720887 BQF720887 CAB720887 CJX720887 CTT720887 DDP720887 DNL720887 DXH720887 EHD720887 EQZ720887 FAV720887 FKR720887 FUN720887 GEJ720887 GOF720887 GYB720887 HHX720887 HRT720887 IBP720887 ILL720887 IVH720887 JFD720887 JOZ720887 JYV720887 KIR720887 KSN720887 LCJ720887 LMF720887 LWB720887 MFX720887 MPT720887 MZP720887 NJL720887 NTH720887 ODD720887 OMZ720887 OWV720887 PGR720887 PQN720887 QAJ720887 QKF720887 QUB720887 RDX720887 RNT720887 RXP720887 SHL720887 SRH720887 TBD720887 TKZ720887 TUV720887 UER720887 UON720887 UYJ720887 VIF720887 VSB720887 WBX720887 WLT720887 WVP720887 JD786423 SZ786423 ACV786423 AMR786423 AWN786423 BGJ786423 BQF786423 CAB786423 CJX786423 CTT786423 DDP786423 DNL786423 DXH786423 EHD786423 EQZ786423 FAV786423 FKR786423 FUN786423 GEJ786423 GOF786423 GYB786423 HHX786423 HRT786423 IBP786423 ILL786423 IVH786423 JFD786423 JOZ786423 JYV786423 KIR786423 KSN786423 LCJ786423 LMF786423 LWB786423 MFX786423 MPT786423 MZP786423 NJL786423 NTH786423 ODD786423 OMZ786423 OWV786423 PGR786423 PQN786423 QAJ786423 QKF786423 QUB786423 RDX786423 RNT786423 RXP786423 SHL786423 SRH786423 TBD786423 TKZ786423 TUV786423 UER786423 UON786423 UYJ786423 VIF786423 VSB786423 WBX786423 WLT786423 WVP786423 JD851959 SZ851959 ACV851959 AMR851959 AWN851959 BGJ851959 BQF851959 CAB851959 CJX851959 CTT851959 DDP851959 DNL851959 DXH851959 EHD851959 EQZ851959 FAV851959 FKR851959 FUN851959 GEJ851959 GOF851959 GYB851959 HHX851959 HRT851959 IBP851959 ILL851959 IVH851959 JFD851959 JOZ851959 JYV851959 KIR851959 KSN851959 LCJ851959 LMF851959 LWB851959 MFX851959 MPT851959 MZP851959 NJL851959 NTH851959 ODD851959 OMZ851959 OWV851959 PGR851959 PQN851959 QAJ851959 QKF851959 QUB851959 RDX851959 RNT851959 RXP851959 SHL851959 SRH851959 TBD851959 TKZ851959 TUV851959 UER851959 UON851959 UYJ851959 VIF851959 VSB851959 WBX851959 WLT851959 WVP851959 JD917495 SZ917495 ACV917495 AMR917495 AWN917495 BGJ917495 BQF917495 CAB917495 CJX917495 CTT917495 DDP917495 DNL917495 DXH917495 EHD917495 EQZ917495 FAV917495 FKR917495 FUN917495 GEJ917495 GOF917495 GYB917495 HHX917495 HRT917495 IBP917495 ILL917495 IVH917495 JFD917495 JOZ917495 JYV917495 KIR917495 KSN917495 LCJ917495 LMF917495 LWB917495 MFX917495 MPT917495 MZP917495 NJL917495 NTH917495 ODD917495 OMZ917495 OWV917495 PGR917495 PQN917495 QAJ917495 QKF917495 QUB917495 RDX917495 RNT917495 RXP917495 SHL917495 SRH917495 TBD917495 TKZ917495 TUV917495 UER917495 UON917495 UYJ917495 VIF917495 VSB917495 WBX917495 WLT917495 WVP917495 JD983031 SZ983031 ACV983031 AMR983031 AWN983031 BGJ983031 BQF983031 CAB983031 CJX983031 CTT983031 DDP983031 DNL983031 DXH983031 EHD983031 EQZ983031 FAV983031 FKR983031 FUN983031 GEJ983031 GOF983031 GYB983031 HHX983031 HRT983031 IBP983031 ILL983031 IVH983031 JFD983031 JOZ983031 JYV983031 KIR983031 KSN983031 LCJ983031 LMF983031 LWB983031 MFX983031 MPT983031 MZP983031 NJL983031 NTH983031 ODD983031 OMZ983031 OWV983031 PGR983031 PQN983031 QAJ983031 QKF983031 QUB983031 RDX983031 RNT983031 RXP983031 SHL983031 SRH983031 TBD983031 TKZ983031 TUV983031 UER983031 UON983031 UYJ983031 VIF983031 VSB983031 WBX983031 WLT983031 C983033:F983033 C917497:F917497 C851961:F851961 C786425:F786425 C720889:F720889 C655353:F655353 C589817:F589817 C524281:F524281 C458745:F458745 C393209:F393209 C327673:F327673 C262137:F262137 C196601:F196601 C131065:F131065 C65529:F65529" xr:uid="{E98DDEEA-B6FB-4E90-8439-AA0D250A9905}">
      <formula1>B65573:B65574</formula1>
    </dataValidation>
    <dataValidation type="list" showInputMessage="1" showErrorMessage="1" sqref="SZ5 JD5 WVP5 WLT5 WBX5 VSB5 VIF5 UYJ5 UON5 UER5 TUV5 TKZ5 TBD5 SRH5 SHL5 RXP5 RNT5 RDX5 QUB5 QKF5 QAJ5 PQN5 PGR5 OWV5 OMZ5 ODD5 NTH5 NJL5 MZP5 MPT5 MFX5 LWB5 LMF5 LCJ5 KSN5 KIR5 JYV5 JOZ5 JFD5 IVH5 ILL5 IBP5 HRT5 HHX5 GYB5 GOF5 GEJ5 FUN5 FKR5 FAV5 EQZ5 EHD5 DXH5 DNL5 DDP5 CTT5 CJX5 CAB5 BQF5 BGJ5 AWN5 AMR5 ACV5" xr:uid="{AA444715-8B9A-4675-A452-E1F85DC995DF}">
      <formula1>#REF!</formula1>
    </dataValidation>
    <dataValidation type="list" showInputMessage="1" showErrorMessage="1" sqref="G65526:H65526 G983030:H983030 G917494:H917494 G851958:H851958 G786422:H786422 G720886:H720886 G655350:H655350 G589814:H589814 G524278:H524278 G458742:H458742 G393206:H393206 G327670:H327670 G262134:H262134 G196598:H196598 G131062:H131062" xr:uid="{E4F5E422-EB2D-49E5-93E0-5D5F1D344F8E}">
      <formula1>F65575:F65576</formula1>
    </dataValidation>
    <dataValidation type="list" allowBlank="1" showInputMessage="1" showErrorMessage="1" prompt="Pick from drop-down list" sqref="WVP983030 WLT983030 WBX983030 VSB983030 VIF983030 UYJ983030 UON983030 UER983030 TUV983030 TKZ983030 TBD983030 SRH983030 SHL983030 RXP983030 RNT983030 RDX983030 QUB983030 QKF983030 QAJ983030 PQN983030 PGR983030 OWV983030 OMZ983030 ODD983030 NTH983030 NJL983030 MZP983030 MPT983030 MFX983030 LWB983030 LMF983030 LCJ983030 KSN983030 KIR983030 JYV983030 JOZ983030 JFD983030 IVH983030 ILL983030 IBP983030 HRT983030 HHX983030 GYB983030 GOF983030 GEJ983030 FUN983030 FKR983030 FAV983030 EQZ983030 EHD983030 DXH983030 DNL983030 DDP983030 CTT983030 CJX983030 CAB983030 BQF983030 BGJ983030 AWN983030 AMR983030 ACV983030 SZ983030 JD983030 WVP917494 WLT917494 WBX917494 VSB917494 VIF917494 UYJ917494 UON917494 UER917494 TUV917494 TKZ917494 TBD917494 SRH917494 SHL917494 RXP917494 RNT917494 RDX917494 QUB917494 QKF917494 QAJ917494 PQN917494 PGR917494 OWV917494 OMZ917494 ODD917494 NTH917494 NJL917494 MZP917494 MPT917494 MFX917494 LWB917494 LMF917494 LCJ917494 KSN917494 KIR917494 JYV917494 JOZ917494 JFD917494 IVH917494 ILL917494 IBP917494 HRT917494 HHX917494 GYB917494 GOF917494 GEJ917494 FUN917494 FKR917494 FAV917494 EQZ917494 EHD917494 DXH917494 DNL917494 DDP917494 CTT917494 CJX917494 CAB917494 BQF917494 BGJ917494 AWN917494 AMR917494 ACV917494 SZ917494 JD917494 WVP851958 WLT851958 WBX851958 VSB851958 VIF851958 UYJ851958 UON851958 UER851958 TUV851958 TKZ851958 TBD851958 SRH851958 SHL851958 RXP851958 RNT851958 RDX851958 QUB851958 QKF851958 QAJ851958 PQN851958 PGR851958 OWV851958 OMZ851958 ODD851958 NTH851958 NJL851958 MZP851958 MPT851958 MFX851958 LWB851958 LMF851958 LCJ851958 KSN851958 KIR851958 JYV851958 JOZ851958 JFD851958 IVH851958 ILL851958 IBP851958 HRT851958 HHX851958 GYB851958 GOF851958 GEJ851958 FUN851958 FKR851958 FAV851958 EQZ851958 EHD851958 DXH851958 DNL851958 DDP851958 CTT851958 CJX851958 CAB851958 BQF851958 BGJ851958 AWN851958 AMR851958 ACV851958 SZ851958 JD851958 WVP786422 WLT786422 WBX786422 VSB786422 VIF786422 UYJ786422 UON786422 UER786422 TUV786422 TKZ786422 TBD786422 SRH786422 SHL786422 RXP786422 RNT786422 RDX786422 QUB786422 QKF786422 QAJ786422 PQN786422 PGR786422 OWV786422 OMZ786422 ODD786422 NTH786422 NJL786422 MZP786422 MPT786422 MFX786422 LWB786422 LMF786422 LCJ786422 KSN786422 KIR786422 JYV786422 JOZ786422 JFD786422 IVH786422 ILL786422 IBP786422 HRT786422 HHX786422 GYB786422 GOF786422 GEJ786422 FUN786422 FKR786422 FAV786422 EQZ786422 EHD786422 DXH786422 DNL786422 DDP786422 CTT786422 CJX786422 CAB786422 BQF786422 BGJ786422 AWN786422 AMR786422 ACV786422 SZ786422 JD786422 WVP720886 WLT720886 WBX720886 VSB720886 VIF720886 UYJ720886 UON720886 UER720886 TUV720886 TKZ720886 TBD720886 SRH720886 SHL720886 RXP720886 RNT720886 RDX720886 QUB720886 QKF720886 QAJ720886 PQN720886 PGR720886 OWV720886 OMZ720886 ODD720886 NTH720886 NJL720886 MZP720886 MPT720886 MFX720886 LWB720886 LMF720886 LCJ720886 KSN720886 KIR720886 JYV720886 JOZ720886 JFD720886 IVH720886 ILL720886 IBP720886 HRT720886 HHX720886 GYB720886 GOF720886 GEJ720886 FUN720886 FKR720886 FAV720886 EQZ720886 EHD720886 DXH720886 DNL720886 DDP720886 CTT720886 CJX720886 CAB720886 BQF720886 BGJ720886 AWN720886 AMR720886 ACV720886 SZ720886 JD720886 WVP655350 WLT655350 WBX655350 VSB655350 VIF655350 UYJ655350 UON655350 UER655350 TUV655350 TKZ655350 TBD655350 SRH655350 SHL655350 RXP655350 RNT655350 RDX655350 QUB655350 QKF655350 QAJ655350 PQN655350 PGR655350 OWV655350 OMZ655350 ODD655350 NTH655350 NJL655350 MZP655350 MPT655350 MFX655350 LWB655350 LMF655350 LCJ655350 KSN655350 KIR655350 JYV655350 JOZ655350 JFD655350 IVH655350 ILL655350 IBP655350 HRT655350 HHX655350 GYB655350 GOF655350 GEJ655350 FUN655350 FKR655350 FAV655350 EQZ655350 EHD655350 DXH655350 DNL655350 DDP655350 CTT655350 CJX655350 CAB655350 BQF655350 BGJ655350 AWN655350 AMR655350 ACV655350 SZ655350 JD655350 WVP589814 WLT589814 WBX589814 VSB589814 VIF589814 UYJ589814 UON589814 UER589814 TUV589814 TKZ589814 TBD589814 SRH589814 SHL589814 RXP589814 RNT589814 RDX589814 QUB589814 QKF589814 QAJ589814 PQN589814 PGR589814 OWV589814 OMZ589814 ODD589814 NTH589814 NJL589814 MZP589814 MPT589814 MFX589814 LWB589814 LMF589814 LCJ589814 KSN589814 KIR589814 JYV589814 JOZ589814 JFD589814 IVH589814 ILL589814 IBP589814 HRT589814 HHX589814 GYB589814 GOF589814 GEJ589814 FUN589814 FKR589814 FAV589814 EQZ589814 EHD589814 DXH589814 DNL589814 DDP589814 CTT589814 CJX589814 CAB589814 BQF589814 BGJ589814 AWN589814 AMR589814 ACV589814 SZ589814 JD589814 WVP524278 WLT524278 WBX524278 VSB524278 VIF524278 UYJ524278 UON524278 UER524278 TUV524278 TKZ524278 TBD524278 SRH524278 SHL524278 RXP524278 RNT524278 RDX524278 QUB524278 QKF524278 QAJ524278 PQN524278 PGR524278 OWV524278 OMZ524278 ODD524278 NTH524278 NJL524278 MZP524278 MPT524278 MFX524278 LWB524278 LMF524278 LCJ524278 KSN524278 KIR524278 JYV524278 JOZ524278 JFD524278 IVH524278 ILL524278 IBP524278 HRT524278 HHX524278 GYB524278 GOF524278 GEJ524278 FUN524278 FKR524278 FAV524278 EQZ524278 EHD524278 DXH524278 DNL524278 DDP524278 CTT524278 CJX524278 CAB524278 BQF524278 BGJ524278 AWN524278 AMR524278 ACV524278 SZ524278 JD524278 WVP458742 WLT458742 WBX458742 VSB458742 VIF458742 UYJ458742 UON458742 UER458742 TUV458742 TKZ458742 TBD458742 SRH458742 SHL458742 RXP458742 RNT458742 RDX458742 QUB458742 QKF458742 QAJ458742 PQN458742 PGR458742 OWV458742 OMZ458742 ODD458742 NTH458742 NJL458742 MZP458742 MPT458742 MFX458742 LWB458742 LMF458742 LCJ458742 KSN458742 KIR458742 JYV458742 JOZ458742 JFD458742 IVH458742 ILL458742 IBP458742 HRT458742 HHX458742 GYB458742 GOF458742 GEJ458742 FUN458742 FKR458742 FAV458742 EQZ458742 EHD458742 DXH458742 DNL458742 DDP458742 CTT458742 CJX458742 CAB458742 BQF458742 BGJ458742 AWN458742 AMR458742 ACV458742 SZ458742 JD458742 WVP393206 WLT393206 WBX393206 VSB393206 VIF393206 UYJ393206 UON393206 UER393206 TUV393206 TKZ393206 TBD393206 SRH393206 SHL393206 RXP393206 RNT393206 RDX393206 QUB393206 QKF393206 QAJ393206 PQN393206 PGR393206 OWV393206 OMZ393206 ODD393206 NTH393206 NJL393206 MZP393206 MPT393206 MFX393206 LWB393206 LMF393206 LCJ393206 KSN393206 KIR393206 JYV393206 JOZ393206 JFD393206 IVH393206 ILL393206 IBP393206 HRT393206 HHX393206 GYB393206 GOF393206 GEJ393206 FUN393206 FKR393206 FAV393206 EQZ393206 EHD393206 DXH393206 DNL393206 DDP393206 CTT393206 CJX393206 CAB393206 BQF393206 BGJ393206 AWN393206 AMR393206 ACV393206 SZ393206 JD393206 WVP327670 WLT327670 WBX327670 VSB327670 VIF327670 UYJ327670 UON327670 UER327670 TUV327670 TKZ327670 TBD327670 SRH327670 SHL327670 RXP327670 RNT327670 RDX327670 QUB327670 QKF327670 QAJ327670 PQN327670 PGR327670 OWV327670 OMZ327670 ODD327670 NTH327670 NJL327670 MZP327670 MPT327670 MFX327670 LWB327670 LMF327670 LCJ327670 KSN327670 KIR327670 JYV327670 JOZ327670 JFD327670 IVH327670 ILL327670 IBP327670 HRT327670 HHX327670 GYB327670 GOF327670 GEJ327670 FUN327670 FKR327670 FAV327670 EQZ327670 EHD327670 DXH327670 DNL327670 DDP327670 CTT327670 CJX327670 CAB327670 BQF327670 BGJ327670 AWN327670 AMR327670 ACV327670 SZ327670 JD327670 WVP262134 WLT262134 WBX262134 VSB262134 VIF262134 UYJ262134 UON262134 UER262134 TUV262134 TKZ262134 TBD262134 SRH262134 SHL262134 RXP262134 RNT262134 RDX262134 QUB262134 QKF262134 QAJ262134 PQN262134 PGR262134 OWV262134 OMZ262134 ODD262134 NTH262134 NJL262134 MZP262134 MPT262134 MFX262134 LWB262134 LMF262134 LCJ262134 KSN262134 KIR262134 JYV262134 JOZ262134 JFD262134 IVH262134 ILL262134 IBP262134 HRT262134 HHX262134 GYB262134 GOF262134 GEJ262134 FUN262134 FKR262134 FAV262134 EQZ262134 EHD262134 DXH262134 DNL262134 DDP262134 CTT262134 CJX262134 CAB262134 BQF262134 BGJ262134 AWN262134 AMR262134 ACV262134 SZ262134 JD262134 WVP196598 WLT196598 WBX196598 VSB196598 VIF196598 UYJ196598 UON196598 UER196598 TUV196598 TKZ196598 TBD196598 SRH196598 SHL196598 RXP196598 RNT196598 RDX196598 QUB196598 QKF196598 QAJ196598 PQN196598 PGR196598 OWV196598 OMZ196598 ODD196598 NTH196598 NJL196598 MZP196598 MPT196598 MFX196598 LWB196598 LMF196598 LCJ196598 KSN196598 KIR196598 JYV196598 JOZ196598 JFD196598 IVH196598 ILL196598 IBP196598 HRT196598 HHX196598 GYB196598 GOF196598 GEJ196598 FUN196598 FKR196598 FAV196598 EQZ196598 EHD196598 DXH196598 DNL196598 DDP196598 CTT196598 CJX196598 CAB196598 BQF196598 BGJ196598 AWN196598 AMR196598 ACV196598 SZ196598 JD196598 WVP131062 WLT131062 WBX131062 VSB131062 VIF131062 UYJ131062 UON131062 UER131062 TUV131062 TKZ131062 TBD131062 SRH131062 SHL131062 RXP131062 RNT131062 RDX131062 QUB131062 QKF131062 QAJ131062 PQN131062 PGR131062 OWV131062 OMZ131062 ODD131062 NTH131062 NJL131062 MZP131062 MPT131062 MFX131062 LWB131062 LMF131062 LCJ131062 KSN131062 KIR131062 JYV131062 JOZ131062 JFD131062 IVH131062 ILL131062 IBP131062 HRT131062 HHX131062 GYB131062 GOF131062 GEJ131062 FUN131062 FKR131062 FAV131062 EQZ131062 EHD131062 DXH131062 DNL131062 DDP131062 CTT131062 CJX131062 CAB131062 BQF131062 BGJ131062 AWN131062 AMR131062 ACV131062 SZ131062 JD131062 WVP65526 WLT65526 WBX65526 VSB65526 VIF65526 UYJ65526 UON65526 UER65526 TUV65526 TKZ65526 TBD65526 SRH65526 SHL65526 RXP65526 RNT65526 RDX65526 QUB65526 QKF65526 QAJ65526 PQN65526 PGR65526 OWV65526 OMZ65526 ODD65526 NTH65526 NJL65526 MZP65526 MPT65526 MFX65526 LWB65526 LMF65526 LCJ65526 KSN65526 KIR65526 JYV65526 JOZ65526 JFD65526 IVH65526 ILL65526 IBP65526 HRT65526 HHX65526 GYB65526 GOF65526 GEJ65526 FUN65526 FKR65526 FAV65526 EQZ65526 EHD65526 DXH65526 DNL65526 DDP65526 CTT65526 CJX65526 CAB65526 BQF65526 BGJ65526 AWN65526 AMR65526 ACV65526 SZ65526 JD65526 WVP4 WLT4 WBX4 VSB4 VIF4 UYJ4 UON4 UER4 TUV4 TKZ4 TBD4 SRH4 SHL4 RXP4 RNT4 RDX4 QUB4 QKF4 QAJ4 PQN4 PGR4 OWV4 OMZ4 ODD4 NTH4 NJL4 MZP4 MPT4 MFX4 LWB4 LMF4 LCJ4 KSN4 KIR4 JYV4 JOZ4 JFD4 IVH4 ILL4 IBP4 HRT4 HHX4 GYB4 GOF4 GEJ4 FUN4 FKR4 FAV4 EQZ4 EHD4 DXH4 DNL4 DDP4 CTT4 CJX4 CAB4 BQF4 BGJ4 AWN4 AMR4 ACV4 SZ4 JD4 G65525:H65525 C65528:F65528 G131061:H131061 C131064:F131064 G196597:H196597 C196600:F196600 G262133:H262133 C262136:F262136 G327669:H327669 C327672:F327672 G393205:H393205 C393208:F393208 G458741:H458741 C458744:F458744 G524277:H524277 C524280:F524280 G589813:H589813 C589816:F589816 G655349:H655349 C655352:F655352 G720885:H720885 C720888:F720888 G786421:H786421 C786424:F786424 G851957:H851957 C851960:F851960 G917493:H917493 C917496:F917496 G983029:H983029 C983032:F983032" xr:uid="{2B0E6B67-F81E-43C0-AD4C-C78ABAE91664}">
      <formula1>$J$16:$J$17</formula1>
    </dataValidation>
  </dataValidations>
  <hyperlinks>
    <hyperlink ref="G28" r:id="rId1" display="https://www.doingbusinesswithlcbo.com/content/dbwl/en/basepage/home/new-supplier-agent/Pricing/HelpfulToolsandLinks.html" xr:uid="{8099FB99-50E8-4539-BFFC-5207CE62DA44}"/>
  </hyperlinks>
  <pageMargins left="0.7" right="0.7" top="0.75" bottom="0.75" header="0.3" footer="0.3"/>
  <pageSetup orientation="portrait" r:id="rId2"/>
  <drawing r:id="rId3"/>
  <legacyDrawing r:id="rId4"/>
  <extLst>
    <ext xmlns:x14="http://schemas.microsoft.com/office/spreadsheetml/2009/9/main" uri="{CCE6A557-97BC-4b89-ADB6-D9C93CAAB3DF}">
      <x14:dataValidations xmlns:xm="http://schemas.microsoft.com/office/excel/2006/main" count="5">
        <x14:dataValidation type="list" allowBlank="1" showInputMessage="1" showErrorMessage="1" xr:uid="{EE72F03C-183E-47A4-9763-741F78DBCFF7}">
          <x14:formula1>
            <xm:f>Rates!$B$94:$B$95</xm:f>
          </x14:formula1>
          <xm:sqref>C4 G4:H4</xm:sqref>
        </x14:dataValidation>
        <x14:dataValidation type="list" allowBlank="1" showInputMessage="1" showErrorMessage="1" xr:uid="{2641E7C2-C907-4FC8-A727-D5C012FE27B2}">
          <x14:formula1>
            <xm:f>Rates!$C$94:$C$95</xm:f>
          </x14:formula1>
          <xm:sqref>G5:H5</xm:sqref>
        </x14:dataValidation>
        <x14:dataValidation type="list" showInputMessage="1" showErrorMessage="1" prompt="Pick from drop-down list_x000a_" xr:uid="{35364DE1-1269-48C5-AA1B-E030B4D07572}">
          <x14:formula1>
            <xm:f>Rates!$A$94:$A$95</xm:f>
          </x14:formula1>
          <xm:sqref>C6 G6:H6</xm:sqref>
        </x14:dataValidation>
        <x14:dataValidation type="list" showInputMessage="1" showErrorMessage="1" prompt="Pick from drop-down list_x000a_" xr:uid="{56A1D01F-0AD4-4010-86C6-3009ECCE866D}">
          <x14:formula1>
            <xm:f>Rates!$B$142:$B$147</xm:f>
          </x14:formula1>
          <xm:sqref>C7 G7:H7</xm:sqref>
        </x14:dataValidation>
        <x14:dataValidation type="list" allowBlank="1" showInputMessage="1" showErrorMessage="1" xr:uid="{C20BBAF8-7914-40F6-80C5-7F1112990BCC}">
          <x14:formula1>
            <xm:f>Rates!$A$82:$A$86</xm:f>
          </x14:formula1>
          <xm:sqref>C5</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98013-2089-4C28-84B7-CBCA980A5D17}">
  <sheetPr transitionEvaluation="1" codeName="Sheet9">
    <tabColor theme="9" tint="0.59999389629810485"/>
  </sheetPr>
  <dimension ref="B1:V59"/>
  <sheetViews>
    <sheetView showGridLines="0" zoomScale="85" zoomScaleNormal="85" workbookViewId="0">
      <selection activeCell="C18" sqref="C18"/>
    </sheetView>
  </sheetViews>
  <sheetFormatPr defaultColWidth="9.84375" defaultRowHeight="14.5"/>
  <cols>
    <col min="1" max="1" width="1.765625" style="1" customWidth="1"/>
    <col min="2" max="2" width="23.23046875" style="1" bestFit="1" customWidth="1"/>
    <col min="3" max="3" width="20.69140625" style="6" customWidth="1"/>
    <col min="4" max="4" width="8.765625" style="1" customWidth="1"/>
    <col min="5" max="5" width="11" style="1" customWidth="1"/>
    <col min="6" max="6" width="1.765625" style="1" customWidth="1"/>
    <col min="7" max="7" width="23" style="1" bestFit="1" customWidth="1"/>
    <col min="8" max="8" width="20.765625" style="1" customWidth="1"/>
    <col min="9" max="9" width="1.765625" style="1" customWidth="1"/>
    <col min="10" max="10" width="18.84375" style="5" bestFit="1" customWidth="1"/>
    <col min="11" max="11" width="20.765625" style="1" customWidth="1"/>
    <col min="12" max="12" width="1.765625" style="1" customWidth="1"/>
    <col min="13" max="13" width="17.84375" style="1" customWidth="1"/>
    <col min="14" max="14" width="20.765625" style="1" customWidth="1"/>
    <col min="15" max="15" width="1.765625" style="1" customWidth="1"/>
    <col min="16" max="16" width="17.23046875" style="1" bestFit="1" customWidth="1"/>
    <col min="17" max="17" width="10.765625" style="1" customWidth="1"/>
    <col min="18" max="18" width="9.84375" style="1" customWidth="1"/>
    <col min="19" max="19" width="10.84375" style="1" customWidth="1"/>
    <col min="20" max="20" width="15.07421875" style="6" customWidth="1"/>
    <col min="21" max="21" width="12.84375" style="1" customWidth="1"/>
    <col min="22" max="16384" width="9.84375" style="1"/>
  </cols>
  <sheetData>
    <row r="1" spans="2:22" ht="18.5">
      <c r="B1" s="170" t="s">
        <v>488</v>
      </c>
      <c r="C1" s="3"/>
      <c r="J1" s="1"/>
    </row>
    <row r="2" spans="2:22">
      <c r="B2" s="21"/>
      <c r="J2" s="2"/>
      <c r="K2" s="2"/>
      <c r="L2" s="4"/>
    </row>
    <row r="3" spans="2:22" ht="15" thickBot="1">
      <c r="B3" s="59" t="s">
        <v>0</v>
      </c>
      <c r="J3" s="2"/>
      <c r="K3" s="2"/>
      <c r="L3" s="39"/>
    </row>
    <row r="4" spans="2:22" ht="16" thickBot="1">
      <c r="B4" s="31" t="s">
        <v>1</v>
      </c>
      <c r="C4" s="408"/>
      <c r="G4" s="65" t="s">
        <v>27</v>
      </c>
      <c r="H4" s="99"/>
      <c r="J4" s="65" t="s">
        <v>91</v>
      </c>
      <c r="K4" s="99"/>
      <c r="L4" s="62"/>
      <c r="M4" s="65" t="s">
        <v>92</v>
      </c>
      <c r="N4" s="99"/>
      <c r="P4" s="285" t="s">
        <v>283</v>
      </c>
      <c r="Q4" s="25"/>
      <c r="R4" s="286"/>
      <c r="S4" s="25"/>
      <c r="T4" s="25"/>
      <c r="U4" s="25"/>
      <c r="V4" s="115"/>
    </row>
    <row r="5" spans="2:22" ht="15" thickBot="1">
      <c r="B5" s="32" t="s">
        <v>5</v>
      </c>
      <c r="C5" s="394"/>
      <c r="G5" s="40" t="s">
        <v>28</v>
      </c>
      <c r="H5" s="41">
        <f t="shared" ref="H5:H12" si="0">K5+N5</f>
        <v>0</v>
      </c>
      <c r="J5" s="40" t="s">
        <v>93</v>
      </c>
      <c r="K5" s="41">
        <f>C9*C10</f>
        <v>0</v>
      </c>
      <c r="L5" s="62"/>
      <c r="M5" s="40" t="s">
        <v>94</v>
      </c>
      <c r="N5" s="41">
        <f>ROUND((C8*C10),4)</f>
        <v>0</v>
      </c>
      <c r="P5" s="293"/>
      <c r="Q5" s="294"/>
      <c r="R5" s="294"/>
      <c r="S5" s="294"/>
      <c r="T5" s="294"/>
      <c r="U5" s="294"/>
      <c r="V5" s="295"/>
    </row>
    <row r="6" spans="2:22" ht="15" thickBot="1">
      <c r="B6" s="215" t="s">
        <v>9</v>
      </c>
      <c r="C6" s="394"/>
      <c r="G6" s="27" t="s">
        <v>29</v>
      </c>
      <c r="H6" s="42" t="e">
        <f t="shared" si="0"/>
        <v>#VALUE!</v>
      </c>
      <c r="J6" s="27" t="s">
        <v>29</v>
      </c>
      <c r="K6" s="42">
        <v>0</v>
      </c>
      <c r="L6" s="63"/>
      <c r="M6" s="27" t="s">
        <v>29</v>
      </c>
      <c r="N6" s="42" t="e">
        <f>IF(C19=Rates!B107, ROUND(C27*C19,4),ROUND((C12*C13)*C19,4))</f>
        <v>#VALUE!</v>
      </c>
      <c r="P6" s="287"/>
      <c r="Q6" s="288"/>
      <c r="R6" s="288"/>
      <c r="S6" s="288"/>
      <c r="T6" s="288"/>
      <c r="U6" s="288"/>
      <c r="V6" s="289"/>
    </row>
    <row r="7" spans="2:22" ht="15" thickBot="1">
      <c r="B7" s="34" t="s">
        <v>448</v>
      </c>
      <c r="C7" s="395"/>
      <c r="G7" s="43" t="s">
        <v>30</v>
      </c>
      <c r="H7" s="282">
        <f t="shared" si="0"/>
        <v>0</v>
      </c>
      <c r="J7" s="43" t="s">
        <v>30</v>
      </c>
      <c r="K7" s="282">
        <v>0</v>
      </c>
      <c r="L7" s="63"/>
      <c r="M7" s="43" t="s">
        <v>30</v>
      </c>
      <c r="N7" s="282">
        <f>ROUND((C12*C13)*(C18),4)</f>
        <v>0</v>
      </c>
      <c r="P7" s="287"/>
      <c r="Q7" s="288"/>
      <c r="R7" s="288"/>
      <c r="S7" s="288"/>
      <c r="T7" s="288"/>
      <c r="U7" s="288"/>
      <c r="V7" s="289"/>
    </row>
    <row r="8" spans="2:22" ht="15" thickBot="1">
      <c r="B8" s="100" t="s">
        <v>89</v>
      </c>
      <c r="C8" s="395"/>
      <c r="G8" s="43" t="s">
        <v>16</v>
      </c>
      <c r="H8" s="44">
        <f t="shared" si="0"/>
        <v>0</v>
      </c>
      <c r="J8" s="43" t="s">
        <v>16</v>
      </c>
      <c r="K8" s="44">
        <v>0</v>
      </c>
      <c r="L8" s="63"/>
      <c r="M8" s="43" t="s">
        <v>16</v>
      </c>
      <c r="N8" s="44">
        <f>C11</f>
        <v>0</v>
      </c>
      <c r="P8" s="287"/>
      <c r="Q8" s="288"/>
      <c r="R8" s="288"/>
      <c r="S8" s="288"/>
      <c r="T8" s="288"/>
      <c r="U8" s="288"/>
      <c r="V8" s="289"/>
    </row>
    <row r="9" spans="2:22" ht="16" thickBot="1">
      <c r="B9" s="100" t="s">
        <v>90</v>
      </c>
      <c r="C9" s="395"/>
      <c r="G9" s="43" t="s">
        <v>31</v>
      </c>
      <c r="H9" s="45" t="e">
        <f t="shared" si="0"/>
        <v>#VALUE!</v>
      </c>
      <c r="J9" s="43" t="s">
        <v>31</v>
      </c>
      <c r="K9" s="45">
        <f>ROUND((+K5+K6+K7+K8),4)</f>
        <v>0</v>
      </c>
      <c r="L9" s="16"/>
      <c r="M9" s="43" t="s">
        <v>31</v>
      </c>
      <c r="N9" s="45" t="e">
        <f>ROUND((+N5+N6+N7+N8),4)</f>
        <v>#VALUE!</v>
      </c>
      <c r="O9"/>
      <c r="P9" s="287"/>
      <c r="Q9" s="288"/>
      <c r="R9" s="288"/>
      <c r="S9" s="288"/>
      <c r="T9" s="288"/>
      <c r="U9" s="288"/>
      <c r="V9" s="289"/>
    </row>
    <row r="10" spans="2:22" ht="15" thickBot="1">
      <c r="B10" s="215" t="s">
        <v>14</v>
      </c>
      <c r="C10" s="396"/>
      <c r="G10" s="43" t="s">
        <v>32</v>
      </c>
      <c r="H10" s="42" t="e">
        <f t="shared" si="0"/>
        <v>#VALUE!</v>
      </c>
      <c r="J10" s="43" t="s">
        <v>32</v>
      </c>
      <c r="K10" s="42">
        <v>0</v>
      </c>
      <c r="L10" s="16"/>
      <c r="M10" s="43" t="s">
        <v>32</v>
      </c>
      <c r="N10" s="42" t="e">
        <f>ROUND((+N9*C23),2)</f>
        <v>#VALUE!</v>
      </c>
      <c r="P10" s="287"/>
      <c r="Q10" s="288"/>
      <c r="R10" s="288"/>
      <c r="S10" s="288"/>
      <c r="T10" s="288"/>
      <c r="U10" s="288"/>
      <c r="V10" s="289"/>
    </row>
    <row r="11" spans="2:22" ht="15" thickBot="1">
      <c r="B11" s="217" t="s">
        <v>16</v>
      </c>
      <c r="C11" s="395"/>
      <c r="G11" s="43" t="s">
        <v>33</v>
      </c>
      <c r="H11" s="44">
        <f t="shared" si="0"/>
        <v>0</v>
      </c>
      <c r="J11" s="43" t="s">
        <v>33</v>
      </c>
      <c r="K11" s="44">
        <v>0</v>
      </c>
      <c r="M11" s="43" t="s">
        <v>33</v>
      </c>
      <c r="N11" s="44">
        <f>(+C13*C12)*C21</f>
        <v>0</v>
      </c>
      <c r="P11" s="287"/>
      <c r="Q11" s="288"/>
      <c r="R11" s="288"/>
      <c r="S11" s="288"/>
      <c r="T11" s="288"/>
      <c r="U11" s="288"/>
      <c r="V11" s="289"/>
    </row>
    <row r="12" spans="2:22" ht="15" thickBot="1">
      <c r="B12" s="216" t="s">
        <v>18</v>
      </c>
      <c r="C12" s="397"/>
      <c r="G12" s="43" t="s">
        <v>34</v>
      </c>
      <c r="H12" s="45" t="e">
        <f t="shared" si="0"/>
        <v>#VALUE!</v>
      </c>
      <c r="J12" s="43" t="s">
        <v>34</v>
      </c>
      <c r="K12" s="45">
        <f>SUM(K9:K11)</f>
        <v>0</v>
      </c>
      <c r="L12" s="64"/>
      <c r="M12" s="43" t="s">
        <v>34</v>
      </c>
      <c r="N12" s="45" t="e">
        <f>SUM(N9:N11)</f>
        <v>#VALUE!</v>
      </c>
      <c r="P12" s="287"/>
      <c r="Q12" s="288"/>
      <c r="R12" s="288"/>
      <c r="S12" s="288"/>
      <c r="T12" s="288"/>
      <c r="U12" s="288"/>
      <c r="V12" s="289"/>
    </row>
    <row r="13" spans="2:22" ht="15" thickBot="1">
      <c r="B13" s="215" t="s">
        <v>20</v>
      </c>
      <c r="C13" s="398"/>
      <c r="G13" s="27"/>
      <c r="H13" s="42"/>
      <c r="J13" s="27"/>
      <c r="K13" s="42"/>
      <c r="L13" s="64"/>
      <c r="M13" s="27"/>
      <c r="N13" s="42"/>
      <c r="P13" s="287"/>
      <c r="Q13" s="288"/>
      <c r="R13" s="288"/>
      <c r="S13" s="288"/>
      <c r="T13" s="288"/>
      <c r="U13" s="288"/>
      <c r="V13" s="289"/>
    </row>
    <row r="14" spans="2:22" ht="15" thickBot="1">
      <c r="B14" s="215" t="s">
        <v>22</v>
      </c>
      <c r="C14" s="410"/>
      <c r="G14" s="43" t="s">
        <v>35</v>
      </c>
      <c r="H14" s="45" t="e">
        <f t="shared" ref="H14:H20" si="1">K14+N14</f>
        <v>#DIV/0!</v>
      </c>
      <c r="J14" s="43" t="s">
        <v>35</v>
      </c>
      <c r="K14" s="45" t="e">
        <f>K12/C13</f>
        <v>#DIV/0!</v>
      </c>
      <c r="M14" s="43" t="s">
        <v>35</v>
      </c>
      <c r="N14" s="45" t="e">
        <f>ROUND((+N12/C13),4)</f>
        <v>#VALUE!</v>
      </c>
      <c r="P14" s="287"/>
      <c r="Q14" s="288"/>
      <c r="R14" s="288"/>
      <c r="S14" s="288"/>
      <c r="T14" s="288"/>
      <c r="U14" s="288"/>
      <c r="V14" s="289"/>
    </row>
    <row r="15" spans="2:22" ht="16.5" customHeight="1" thickBot="1">
      <c r="B15" s="218" t="s">
        <v>24</v>
      </c>
      <c r="C15" s="385"/>
      <c r="D15" s="574" t="s">
        <v>289</v>
      </c>
      <c r="E15" s="575"/>
      <c r="G15" s="43" t="s">
        <v>36</v>
      </c>
      <c r="H15" s="42">
        <f t="shared" si="1"/>
        <v>0</v>
      </c>
      <c r="J15" s="43" t="s">
        <v>36</v>
      </c>
      <c r="K15" s="42">
        <v>0</v>
      </c>
      <c r="M15" s="43" t="s">
        <v>36</v>
      </c>
      <c r="N15" s="42">
        <f>C22*C12</f>
        <v>0</v>
      </c>
      <c r="P15" s="287"/>
      <c r="Q15" s="288"/>
      <c r="R15" s="288"/>
      <c r="S15" s="288"/>
      <c r="T15" s="288"/>
      <c r="U15" s="288"/>
      <c r="V15" s="289"/>
    </row>
    <row r="16" spans="2:22" ht="15" thickBot="1">
      <c r="B16" s="335" t="s">
        <v>26</v>
      </c>
      <c r="C16" s="377" t="e">
        <f>H25</f>
        <v>#VALUE!</v>
      </c>
      <c r="D16" s="434" t="e">
        <f>H20-H24</f>
        <v>#DIV/0!</v>
      </c>
      <c r="E16" s="315" t="e">
        <f>C16-D16</f>
        <v>#VALUE!</v>
      </c>
      <c r="G16" s="43" t="s">
        <v>37</v>
      </c>
      <c r="H16" s="42">
        <f t="shared" si="1"/>
        <v>0</v>
      </c>
      <c r="J16" s="43" t="s">
        <v>37</v>
      </c>
      <c r="K16" s="42">
        <v>0</v>
      </c>
      <c r="M16" s="43" t="s">
        <v>37</v>
      </c>
      <c r="N16" s="42">
        <f>ROUND(C12*C20,4)</f>
        <v>0</v>
      </c>
      <c r="P16" s="287"/>
      <c r="Q16" s="288"/>
      <c r="R16" s="288"/>
      <c r="S16" s="288"/>
      <c r="T16" s="288"/>
      <c r="U16" s="288"/>
      <c r="V16" s="289"/>
    </row>
    <row r="17" spans="2:22" ht="15" thickBot="1">
      <c r="C17" s="25"/>
      <c r="G17" s="43" t="s">
        <v>19</v>
      </c>
      <c r="H17" s="46">
        <f t="shared" si="1"/>
        <v>0</v>
      </c>
      <c r="J17" s="43" t="s">
        <v>19</v>
      </c>
      <c r="K17" s="46">
        <v>0</v>
      </c>
      <c r="M17" s="43" t="s">
        <v>19</v>
      </c>
      <c r="N17" s="46">
        <f>C14*C24</f>
        <v>0</v>
      </c>
      <c r="P17" s="290"/>
      <c r="Q17" s="291"/>
      <c r="R17" s="291"/>
      <c r="S17" s="291"/>
      <c r="T17" s="291"/>
      <c r="U17" s="291"/>
      <c r="V17" s="292"/>
    </row>
    <row r="18" spans="2:22">
      <c r="B18" s="52" t="s">
        <v>3</v>
      </c>
      <c r="C18" s="376">
        <f>IF(C6="Domestic",0,IF(C15&gt;=7.1,Rates!C23,IF(C15&lt;1.2,Rates!C20,Rates!C22)))</f>
        <v>0</v>
      </c>
      <c r="G18" s="43" t="s">
        <v>38</v>
      </c>
      <c r="H18" s="45" t="e">
        <f t="shared" si="1"/>
        <v>#DIV/0!</v>
      </c>
      <c r="J18" s="43" t="s">
        <v>38</v>
      </c>
      <c r="K18" s="45" t="e">
        <f>K14+K15+K16+K17</f>
        <v>#DIV/0!</v>
      </c>
      <c r="L18" s="11"/>
      <c r="M18" s="43" t="s">
        <v>38</v>
      </c>
      <c r="N18" s="45" t="e">
        <f>N14+N15+N16+N17</f>
        <v>#VALUE!</v>
      </c>
      <c r="O18" s="9"/>
      <c r="P18" s="15"/>
    </row>
    <row r="19" spans="2:22">
      <c r="B19" s="53" t="s">
        <v>7</v>
      </c>
      <c r="C19" s="354" t="e">
        <f>VLOOKUP(C4&amp;C5&amp;C6,Rates!I:J,2,FALSE)</f>
        <v>#VALUE!</v>
      </c>
      <c r="G19" s="43" t="s">
        <v>21</v>
      </c>
      <c r="H19" s="44" t="e">
        <f t="shared" si="1"/>
        <v>#DIV/0!</v>
      </c>
      <c r="J19" s="43" t="s">
        <v>21</v>
      </c>
      <c r="K19" s="44" t="e">
        <f>ROUND(+K18*C25,4)</f>
        <v>#DIV/0!</v>
      </c>
      <c r="L19" s="8"/>
      <c r="M19" s="43" t="s">
        <v>21</v>
      </c>
      <c r="N19" s="44" t="e">
        <f>ROUND(+N18*C25,2)</f>
        <v>#VALUE!</v>
      </c>
      <c r="Q19" s="6"/>
      <c r="S19" s="284"/>
      <c r="T19" s="319"/>
      <c r="U19" s="284"/>
    </row>
    <row r="20" spans="2:22">
      <c r="B20" s="43" t="s">
        <v>11</v>
      </c>
      <c r="C20" s="354">
        <f>(VLOOKUP(C6,Rates!B135:D140,3,TRUE))</f>
        <v>0.67530000000000001</v>
      </c>
      <c r="G20" s="43" t="s">
        <v>39</v>
      </c>
      <c r="H20" s="45" t="e">
        <f t="shared" si="1"/>
        <v>#DIV/0!</v>
      </c>
      <c r="J20" s="43" t="s">
        <v>39</v>
      </c>
      <c r="K20" s="45" t="e">
        <f>SUM(K18:K19)</f>
        <v>#DIV/0!</v>
      </c>
      <c r="M20" s="43" t="s">
        <v>39</v>
      </c>
      <c r="N20" s="45" t="e">
        <f>SUM(N18:N19)</f>
        <v>#VALUE!</v>
      </c>
      <c r="Q20" s="6"/>
      <c r="S20" s="284"/>
      <c r="T20" s="319"/>
      <c r="U20" s="284"/>
    </row>
    <row r="21" spans="2:22">
      <c r="B21" s="43" t="s">
        <v>33</v>
      </c>
      <c r="C21" s="354">
        <f>VLOOKUP(C4,Rates!M367:N373,2,FALSE)</f>
        <v>0</v>
      </c>
      <c r="G21" s="331" t="s">
        <v>288</v>
      </c>
      <c r="H21" s="49" t="e">
        <f>H23-H22</f>
        <v>#VALUE!</v>
      </c>
      <c r="J21" s="48"/>
      <c r="K21" s="49"/>
      <c r="M21" s="48"/>
      <c r="N21" s="49"/>
      <c r="Q21" s="6"/>
      <c r="S21" s="284"/>
      <c r="T21" s="319"/>
      <c r="U21" s="284"/>
    </row>
    <row r="22" spans="2:22">
      <c r="B22" s="43" t="s">
        <v>36</v>
      </c>
      <c r="C22" s="354">
        <f>Rates!B53</f>
        <v>0.28999999999999998</v>
      </c>
      <c r="D22" s="574" t="s">
        <v>284</v>
      </c>
      <c r="E22" s="575"/>
      <c r="G22" s="331" t="s">
        <v>21</v>
      </c>
      <c r="H22" s="78" t="e">
        <f>ROUND(H23*C25/(1+C25),2)</f>
        <v>#VALUE!</v>
      </c>
      <c r="J22" s="48"/>
      <c r="K22" s="49"/>
      <c r="M22" s="48"/>
      <c r="N22" s="78"/>
      <c r="Q22" s="6"/>
      <c r="S22" s="284"/>
      <c r="T22" s="319"/>
      <c r="U22" s="284"/>
    </row>
    <row r="23" spans="2:22">
      <c r="B23" s="54" t="s">
        <v>17</v>
      </c>
      <c r="C23" s="356">
        <f>VLOOKUP(C4,Rates!M376:N383,2,TRUE)</f>
        <v>0</v>
      </c>
      <c r="D23" s="316" t="e">
        <f>C42</f>
        <v>#VALUE!</v>
      </c>
      <c r="E23" s="315" t="e">
        <f>D23-C23</f>
        <v>#VALUE!</v>
      </c>
      <c r="G23" s="331" t="s">
        <v>49</v>
      </c>
      <c r="H23" s="50" t="e">
        <f>IF(C35&lt;C23,C39+0.05,C39)+K23</f>
        <v>#VALUE!</v>
      </c>
      <c r="J23" s="48" t="s">
        <v>41</v>
      </c>
      <c r="K23" s="50" t="e">
        <f>CEILING(K20,0.05)</f>
        <v>#DIV/0!</v>
      </c>
      <c r="M23" s="48" t="s">
        <v>41</v>
      </c>
      <c r="N23" s="50" t="e">
        <f>IF(MOD(N20*1000,50)&gt;24.99,CEILING(N20,0.05),FLOOR(N20,0.05))</f>
        <v>#VALUE!</v>
      </c>
      <c r="Q23" s="6"/>
      <c r="S23" s="284"/>
      <c r="T23" s="319"/>
      <c r="U23" s="284"/>
    </row>
    <row r="24" spans="2:22" ht="15" thickBot="1">
      <c r="B24" s="55" t="s">
        <v>19</v>
      </c>
      <c r="C24" s="375">
        <f>Rates!B77</f>
        <v>8.9300000000000004E-2</v>
      </c>
      <c r="G24" s="43" t="s">
        <v>42</v>
      </c>
      <c r="H24" s="51" t="e">
        <f>C14*C26</f>
        <v>#DIV/0!</v>
      </c>
      <c r="J24" s="43"/>
      <c r="K24" s="51"/>
      <c r="M24" s="27"/>
      <c r="N24" s="47"/>
      <c r="Q24" s="6"/>
      <c r="S24" s="284"/>
      <c r="T24" s="319"/>
      <c r="U24" s="284"/>
    </row>
    <row r="25" spans="2:22" ht="16" thickBot="1">
      <c r="B25" s="43" t="s">
        <v>21</v>
      </c>
      <c r="C25" s="356">
        <f>Rates!B79</f>
        <v>0.13</v>
      </c>
      <c r="G25" s="57" t="s">
        <v>43</v>
      </c>
      <c r="H25" s="58" t="e">
        <f>H23+H24</f>
        <v>#VALUE!</v>
      </c>
      <c r="J25" s="57"/>
      <c r="K25" s="58"/>
      <c r="M25" s="57"/>
      <c r="N25" s="58"/>
      <c r="Q25" s="6"/>
      <c r="S25" s="284"/>
      <c r="T25" s="319"/>
      <c r="U25" s="284"/>
    </row>
    <row r="26" spans="2:22">
      <c r="B26" s="43" t="s">
        <v>23</v>
      </c>
      <c r="C26" s="354" t="e">
        <f>IF(C12/C14&gt;0.63,0.2,IF(C12/C14&gt;0.1,0.1,0))</f>
        <v>#DIV/0!</v>
      </c>
      <c r="G26" s="582" t="e">
        <f>IF(C9/C7&gt;40%,"VP Approval Required because packaging costs are greater than 40% of the total cost","")</f>
        <v>#DIV/0!</v>
      </c>
      <c r="H26" s="582"/>
      <c r="I26" s="582"/>
      <c r="J26" s="582"/>
      <c r="K26" s="582"/>
      <c r="L26" s="582"/>
      <c r="M26" s="582"/>
      <c r="N26" s="582"/>
      <c r="Q26" s="6"/>
      <c r="S26" s="284"/>
      <c r="T26" s="319"/>
      <c r="U26" s="284"/>
    </row>
    <row r="27" spans="2:22" ht="15.75" customHeight="1" thickBot="1">
      <c r="B27" s="56" t="s">
        <v>25</v>
      </c>
      <c r="C27" s="357">
        <f>+ROUND(((C12*C13)*C15)/100,4)</f>
        <v>0</v>
      </c>
      <c r="G27" s="582"/>
      <c r="H27" s="582"/>
      <c r="I27" s="582"/>
      <c r="J27" s="582"/>
      <c r="K27" s="582"/>
      <c r="L27" s="582"/>
      <c r="M27" s="582"/>
      <c r="N27" s="582"/>
      <c r="Q27" s="6"/>
      <c r="S27" s="284"/>
      <c r="T27" s="319"/>
      <c r="U27" s="284"/>
    </row>
    <row r="28" spans="2:22" ht="15" customHeight="1">
      <c r="Q28" s="6"/>
      <c r="S28" s="284"/>
      <c r="T28" s="319"/>
      <c r="U28" s="284"/>
    </row>
    <row r="29" spans="2:22" ht="15" thickBot="1">
      <c r="N29" s="437"/>
      <c r="Q29" s="6"/>
      <c r="S29" s="284"/>
      <c r="T29" s="319"/>
      <c r="U29" s="284"/>
    </row>
    <row r="30" spans="2:22" ht="15" thickBot="1">
      <c r="G30" s="527" t="s">
        <v>496</v>
      </c>
      <c r="H30" s="528"/>
      <c r="Q30" s="6"/>
      <c r="S30" s="284"/>
      <c r="T30" s="319"/>
      <c r="U30" s="284"/>
    </row>
    <row r="31" spans="2:22">
      <c r="B31" s="1" t="s">
        <v>44</v>
      </c>
      <c r="C31" s="96" t="e">
        <f>ROUND(((+(N18-N15-N17)*C13-N11)/N9-1),4)</f>
        <v>#VALUE!</v>
      </c>
      <c r="G31" s="530" t="s">
        <v>497</v>
      </c>
      <c r="H31" s="534" t="e">
        <f>H18</f>
        <v>#DIV/0!</v>
      </c>
      <c r="Q31" s="6"/>
      <c r="S31" s="284"/>
      <c r="T31" s="319"/>
      <c r="U31" s="284"/>
    </row>
    <row r="32" spans="2:22">
      <c r="B32" s="1" t="s">
        <v>45</v>
      </c>
      <c r="C32" s="19" t="e">
        <f>ROUND(+H21-(N9/C13),2)</f>
        <v>#VALUE!</v>
      </c>
      <c r="G32" s="530"/>
      <c r="H32" s="535"/>
      <c r="Q32" s="6"/>
      <c r="S32" s="284"/>
      <c r="T32" s="319"/>
      <c r="U32" s="284"/>
    </row>
    <row r="33" spans="2:21">
      <c r="B33" s="1" t="s">
        <v>46</v>
      </c>
      <c r="C33" s="20" t="e">
        <f>ROUND(+C32/N18,3)</f>
        <v>#VALUE!</v>
      </c>
      <c r="G33" s="530" t="s">
        <v>498</v>
      </c>
      <c r="H33" s="534" t="e">
        <f>SUM(H31*10%)</f>
        <v>#DIV/0!</v>
      </c>
      <c r="Q33" s="6"/>
      <c r="S33" s="284"/>
      <c r="T33" s="319"/>
      <c r="U33" s="284"/>
    </row>
    <row r="34" spans="2:21">
      <c r="G34" s="530" t="s">
        <v>500</v>
      </c>
      <c r="H34" s="534" t="e">
        <f>SUM(H31-H33)</f>
        <v>#DIV/0!</v>
      </c>
      <c r="Q34" s="6"/>
      <c r="S34" s="284"/>
      <c r="T34" s="319"/>
      <c r="U34" s="284"/>
    </row>
    <row r="35" spans="2:21">
      <c r="B35" s="9" t="s">
        <v>47</v>
      </c>
      <c r="C35" s="97" t="e">
        <f>ROUND((((N18-N17-N15-N16)*C13-N11)/N9-1),4)</f>
        <v>#VALUE!</v>
      </c>
      <c r="G35" s="530" t="s">
        <v>21</v>
      </c>
      <c r="H35" s="534" t="e">
        <f>SUM(H34*C25)</f>
        <v>#DIV/0!</v>
      </c>
      <c r="Q35" s="6"/>
      <c r="S35" s="284"/>
      <c r="T35" s="319"/>
      <c r="U35" s="284"/>
    </row>
    <row r="36" spans="2:21" ht="15" thickBot="1">
      <c r="B36" s="98"/>
      <c r="G36" s="530" t="s">
        <v>499</v>
      </c>
      <c r="H36" s="534" t="e">
        <f>C26</f>
        <v>#DIV/0!</v>
      </c>
      <c r="Q36" s="6"/>
      <c r="S36" s="284"/>
      <c r="T36" s="319"/>
      <c r="U36" s="284"/>
    </row>
    <row r="37" spans="2:21" ht="15" thickBot="1">
      <c r="B37" s="1" t="s">
        <v>48</v>
      </c>
      <c r="C37" s="12" t="e">
        <f>C39-C38</f>
        <v>#VALUE!</v>
      </c>
      <c r="G37" s="527" t="s">
        <v>501</v>
      </c>
      <c r="H37" s="536" t="e">
        <f>SUM(H34+H35+H36)</f>
        <v>#DIV/0!</v>
      </c>
      <c r="Q37" s="6"/>
      <c r="S37" s="284"/>
      <c r="T37" s="319"/>
      <c r="U37" s="284"/>
    </row>
    <row r="38" spans="2:21">
      <c r="B38" s="1" t="s">
        <v>21</v>
      </c>
      <c r="C38" s="13" t="e">
        <f>ROUND(C39*C25/(1+C25),2)</f>
        <v>#VALUE!</v>
      </c>
      <c r="G38" s="533" t="s">
        <v>502</v>
      </c>
      <c r="Q38" s="6"/>
      <c r="S38" s="284"/>
      <c r="T38" s="319"/>
      <c r="U38" s="284"/>
    </row>
    <row r="39" spans="2:21">
      <c r="B39" s="1" t="s">
        <v>49</v>
      </c>
      <c r="C39" s="111" t="e">
        <f>IF(MOD(N20*1000,50)&gt;24.99,CEILING(N20,0.05),FLOOR(N20,0.05))</f>
        <v>#VALUE!</v>
      </c>
      <c r="Q39" s="6"/>
      <c r="S39" s="284"/>
      <c r="T39" s="319"/>
      <c r="U39" s="284"/>
    </row>
    <row r="40" spans="2:21">
      <c r="B40" s="5"/>
      <c r="C40" s="1"/>
      <c r="Q40" s="6"/>
      <c r="S40" s="284"/>
      <c r="T40" s="319"/>
      <c r="U40" s="284"/>
    </row>
    <row r="41" spans="2:21">
      <c r="B41" s="17"/>
      <c r="C41" s="22"/>
      <c r="Q41" s="6"/>
      <c r="S41" s="284"/>
      <c r="T41" s="319"/>
      <c r="U41" s="284"/>
    </row>
    <row r="42" spans="2:21">
      <c r="B42" s="9" t="s">
        <v>47</v>
      </c>
      <c r="C42" s="22" t="e">
        <f>ROUND((((N18-N17-N15-N16)*C13-N11)/N9-1),4)</f>
        <v>#VALUE!</v>
      </c>
      <c r="Q42" s="6"/>
      <c r="S42" s="284"/>
      <c r="T42" s="319"/>
      <c r="U42" s="284"/>
    </row>
    <row r="43" spans="2:21">
      <c r="Q43" s="6"/>
      <c r="S43" s="284"/>
      <c r="T43" s="319"/>
      <c r="U43" s="284"/>
    </row>
    <row r="44" spans="2:21">
      <c r="Q44" s="6"/>
      <c r="S44" s="284"/>
      <c r="T44" s="319"/>
      <c r="U44" s="284"/>
    </row>
    <row r="45" spans="2:21">
      <c r="Q45" s="6"/>
      <c r="S45" s="284"/>
      <c r="T45" s="319"/>
      <c r="U45" s="284"/>
    </row>
    <row r="46" spans="2:21">
      <c r="Q46" s="6"/>
      <c r="S46" s="284"/>
      <c r="T46" s="319"/>
      <c r="U46" s="284"/>
    </row>
    <row r="47" spans="2:21">
      <c r="Q47" s="6"/>
      <c r="S47" s="284"/>
      <c r="T47" s="319"/>
      <c r="U47" s="284"/>
    </row>
    <row r="48" spans="2:21">
      <c r="S48" s="284"/>
      <c r="T48" s="284"/>
      <c r="U48" s="284"/>
    </row>
    <row r="49" spans="2:21">
      <c r="S49" s="284"/>
      <c r="T49" s="284"/>
      <c r="U49" s="284"/>
    </row>
    <row r="50" spans="2:21">
      <c r="S50" s="284"/>
      <c r="T50" s="284"/>
      <c r="U50" s="284"/>
    </row>
    <row r="51" spans="2:21">
      <c r="S51" s="284"/>
      <c r="T51" s="284"/>
      <c r="U51" s="284"/>
    </row>
    <row r="52" spans="2:21">
      <c r="S52" s="284"/>
      <c r="T52" s="284"/>
      <c r="U52" s="284"/>
    </row>
    <row r="53" spans="2:21">
      <c r="Q53" s="6"/>
      <c r="S53" s="284"/>
      <c r="T53" s="319"/>
      <c r="U53" s="284"/>
    </row>
    <row r="56" spans="2:21">
      <c r="B56" s="8"/>
      <c r="C56" s="1"/>
    </row>
    <row r="57" spans="2:21">
      <c r="B57" s="17"/>
      <c r="C57" s="1"/>
    </row>
    <row r="58" spans="2:21">
      <c r="C58" s="1"/>
    </row>
    <row r="59" spans="2:21">
      <c r="B59" s="17"/>
      <c r="C59" s="1"/>
    </row>
  </sheetData>
  <sheetProtection formatColumns="0" autoFilter="0" pivotTables="0"/>
  <protectedRanges>
    <protectedRange password="CCE3" sqref="B21:C25 C26 B20" name="Range3"/>
    <protectedRange password="CCE3" sqref="C20" name="Range3_2"/>
    <protectedRange password="CCE3" sqref="D22" name="Range3_3"/>
    <protectedRange password="CCE3" sqref="B26" name="Range3_1_1"/>
  </protectedRanges>
  <dataConsolidate link="1"/>
  <mergeCells count="3">
    <mergeCell ref="D15:E15"/>
    <mergeCell ref="D22:E22"/>
    <mergeCell ref="G26:N27"/>
  </mergeCells>
  <conditionalFormatting sqref="E16">
    <cfRule type="cellIs" dxfId="32" priority="4" operator="lessThan">
      <formula>0</formula>
    </cfRule>
    <cfRule type="cellIs" dxfId="31" priority="5" operator="greaterThan">
      <formula>0</formula>
    </cfRule>
    <cfRule type="cellIs" dxfId="30" priority="6" operator="greaterThan">
      <formula>0</formula>
    </cfRule>
  </conditionalFormatting>
  <conditionalFormatting sqref="E23">
    <cfRule type="cellIs" dxfId="29" priority="1" operator="lessThan">
      <formula>0</formula>
    </cfRule>
    <cfRule type="cellIs" dxfId="28" priority="2" operator="greaterThan">
      <formula>0</formula>
    </cfRule>
    <cfRule type="cellIs" dxfId="27" priority="3" operator="greaterThan">
      <formula>0</formula>
    </cfRule>
  </conditionalFormatting>
  <printOptions horizontalCentered="1" gridLinesSet="0"/>
  <pageMargins left="0" right="0" top="0" bottom="0" header="0.511811023622047" footer="0.511811023622047"/>
  <pageSetup scale="74" orientation="portrait" horizontalDpi="300" verticalDpi="300" r:id="rId1"/>
  <headerFooter alignWithMargins="0"/>
  <ignoredErrors>
    <ignoredError sqref="G26" evalError="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prompt="Pick from drop-down list" xr:uid="{F9DA785B-FED1-4B85-8958-CF46F59AF660}">
          <x14:formula1>
            <xm:f>Rates!$M$367:$M$373</xm:f>
          </x14:formula1>
          <xm:sqref>C4</xm:sqref>
        </x14:dataValidation>
        <x14:dataValidation type="list" showInputMessage="1" showErrorMessage="1" prompt="Pick from drop-down list_x000a_" xr:uid="{45F53C02-C927-42A9-AA22-A1E9EB0EF5C3}">
          <x14:formula1>
            <xm:f>Rates!$A$94:$A$95</xm:f>
          </x14:formula1>
          <xm:sqref>C5</xm:sqref>
        </x14:dataValidation>
        <x14:dataValidation type="list" showInputMessage="1" showErrorMessage="1" prompt="Pick from drop-down list_x000a_" xr:uid="{4F56350B-F1FB-44FF-ABDD-B9B07C4F4921}">
          <x14:formula1>
            <xm:f>Rates!$B$135:$B$140</xm:f>
          </x14:formula1>
          <xm:sqref>C6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vt:i4>
      </vt:variant>
    </vt:vector>
  </HeadingPairs>
  <TitlesOfParts>
    <vt:vector size="20" baseType="lpstr">
      <vt:lpstr>OpenWorkSheet</vt:lpstr>
      <vt:lpstr>Rates</vt:lpstr>
      <vt:lpstr>Wine</vt:lpstr>
      <vt:lpstr>Spirits</vt:lpstr>
      <vt:lpstr>Cooler RTD Cider</vt:lpstr>
      <vt:lpstr>BeerImport</vt:lpstr>
      <vt:lpstr>BeerOntario</vt:lpstr>
      <vt:lpstr>BeerImportedFlavour</vt:lpstr>
      <vt:lpstr>GiftPack_Wine</vt:lpstr>
      <vt:lpstr>GiftPack_Spirit</vt:lpstr>
      <vt:lpstr>GiftPack_Cooler RTD Cider</vt:lpstr>
      <vt:lpstr>GiftPack_BeerImport</vt:lpstr>
      <vt:lpstr>GiftPack_BeerOntario</vt:lpstr>
      <vt:lpstr>KEGFlavouredBeer</vt:lpstr>
      <vt:lpstr>KEGBeerImport</vt:lpstr>
      <vt:lpstr>KEGCider</vt:lpstr>
      <vt:lpstr>Contact Info</vt:lpstr>
      <vt:lpstr>BeerOntario!Print_Area</vt:lpstr>
      <vt:lpstr>GiftPack_Wine!Print_Area</vt:lpstr>
      <vt:lpstr>Wine!Print_Area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Pricing Administration</dc:creator>
  <cp:keywords/>
  <dc:description/>
  <cp:lastModifiedBy>Zupo, Lucy</cp:lastModifiedBy>
  <cp:revision/>
  <cp:lastPrinted>2024-10-08T21:14:12Z</cp:lastPrinted>
  <dcterms:created xsi:type="dcterms:W3CDTF">1998-02-20T18:32:37Z</dcterms:created>
  <dcterms:modified xsi:type="dcterms:W3CDTF">2026-03-27T12:14:15Z</dcterms:modified>
  <cp:category/>
  <cp:contentStatus/>
</cp:coreProperties>
</file>